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issrifka\2026\26.08.28 Softener\"/>
    </mc:Choice>
  </mc:AlternateContent>
  <xr:revisionPtr revIDLastSave="0" documentId="13_ncr:1_{CECDABBA-6FB2-41E9-8D3E-63D6A9D2AB3F}" xr6:coauthVersionLast="47" xr6:coauthVersionMax="47" xr10:uidLastSave="{00000000-0000-0000-0000-000000000000}"/>
  <bookViews>
    <workbookView xWindow="-108" yWindow="-108" windowWidth="23256" windowHeight="12456" xr2:uid="{56B7BF1C-5B2D-4FD0-A826-E88DC5DC5EF8}"/>
  </bookViews>
  <sheets>
    <sheet name="Softener Design" sheetId="4" r:id="rId1"/>
    <sheet name="Resin Database" sheetId="3" r:id="rId2"/>
    <sheet name="Vessel Sizing" sheetId="2" r:id="rId3"/>
    <sheet name="Calculation Reference" sheetId="1" r:id="rId4"/>
    <sheet name="Sheet1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18" i="5" l="1"/>
  <c r="F19" i="5" s="1"/>
  <c r="C10" i="5"/>
  <c r="C6" i="5"/>
  <c r="C22" i="5"/>
  <c r="C19" i="5"/>
  <c r="C18" i="5"/>
  <c r="C17" i="5"/>
  <c r="C13" i="5"/>
  <c r="C9" i="5"/>
  <c r="C5" i="5"/>
  <c r="B46" i="4"/>
  <c r="E42" i="4"/>
  <c r="E41" i="4"/>
  <c r="C41" i="4"/>
  <c r="E38" i="4"/>
  <c r="E34" i="4"/>
  <c r="E30" i="4"/>
  <c r="E29" i="4"/>
  <c r="C29" i="4"/>
  <c r="I27" i="4"/>
  <c r="K27" i="4" s="1"/>
  <c r="I19" i="4"/>
  <c r="K19" i="4" s="1"/>
  <c r="I9" i="4"/>
  <c r="K9" i="4" s="1"/>
  <c r="K7" i="4"/>
  <c r="I7" i="4"/>
  <c r="C24" i="4"/>
  <c r="E15" i="4"/>
  <c r="E13" i="4"/>
  <c r="E11" i="4"/>
  <c r="E9" i="4"/>
  <c r="C9" i="4"/>
  <c r="E7" i="4"/>
  <c r="E5" i="4"/>
  <c r="I5" i="4" l="1"/>
  <c r="I11" i="4" s="1"/>
  <c r="K5" i="4" l="1"/>
  <c r="I15" i="4"/>
  <c r="I17" i="4"/>
  <c r="K17" i="4"/>
  <c r="I21" i="4"/>
  <c r="I23" i="4" s="1"/>
  <c r="I13" i="4"/>
  <c r="K13" i="4" s="1"/>
  <c r="K11" i="4"/>
  <c r="K21" i="4" l="1"/>
  <c r="C33" i="4"/>
  <c r="K23" i="4"/>
  <c r="E33" i="4" l="1"/>
  <c r="C37" i="4"/>
  <c r="E37" i="4" l="1"/>
  <c r="I25" i="4"/>
  <c r="K25" i="4" s="1"/>
</calcChain>
</file>

<file path=xl/sharedStrings.xml><?xml version="1.0" encoding="utf-8"?>
<sst xmlns="http://schemas.openxmlformats.org/spreadsheetml/2006/main" count="335" uniqueCount="277">
  <si>
    <t>ION EXCHANGE RESIN DATABASE &amp; SPECIFICATIONS</t>
  </si>
  <si>
    <t>Resin Name</t>
  </si>
  <si>
    <t>Manufacturer</t>
  </si>
  <si>
    <t>Polymer Type</t>
  </si>
  <si>
    <t>Total Capacity (eq/L)</t>
  </si>
  <si>
    <t>Bead Size Type</t>
  </si>
  <si>
    <t>OEC @ 80 g/L (eq/L)</t>
  </si>
  <si>
    <t>OEC @ 120 g/L (eq/L)</t>
  </si>
  <si>
    <t>OEC @ 150 g/L (eq/L)</t>
  </si>
  <si>
    <t>OEC @ 200 g/L (eq/L)</t>
  </si>
  <si>
    <t>OEC @ 250 g/L (eq/L)</t>
  </si>
  <si>
    <t>Max Temp (deg C)</t>
  </si>
  <si>
    <t>pH Range</t>
  </si>
  <si>
    <t>Application Notes</t>
  </si>
  <si>
    <t>AmberLite IRC120 Na</t>
  </si>
  <si>
    <t>DuPont / Dow</t>
  </si>
  <si>
    <t>Gel Polystyrene (8% DVB)</t>
  </si>
  <si>
    <t>Gaussian (0.3 - 1.2 mm)</t>
  </si>
  <si>
    <t>0 - 14</t>
  </si>
  <si>
    <t>Standard industrial workhorse SAC resin. Excellent durability and cost-efficiency.</t>
  </si>
  <si>
    <t>AmberLite HPR1200 Na</t>
  </si>
  <si>
    <t>Gel Premium UPS (8% DVB)</t>
  </si>
  <si>
    <t>Uniform Particle Size (UPS)</t>
  </si>
  <si>
    <t>High-efficiency UPS SAC resin. Low pressure drop, rapid kinetics, minimal rinse water.</t>
  </si>
  <si>
    <t>AmberLite HPR1300 Na</t>
  </si>
  <si>
    <t>High Cross-linked Gel (10% DVB)</t>
  </si>
  <si>
    <t>Premium high-capacity UPS SAC resin. Superior resistance to thermal &amp; oxidant stress, high TDS/Hardness.</t>
  </si>
  <si>
    <t>TapTec HCR-S</t>
  </si>
  <si>
    <t>Potable water certified (NSF/ANSI 61). Ideal for residential, commercial &amp; F&amp;B softening.</t>
  </si>
  <si>
    <t>Purolite C100E</t>
  </si>
  <si>
    <t>Purolite</t>
  </si>
  <si>
    <t>Food grade SAC resin widely used in commercial and light industrial applications.</t>
  </si>
  <si>
    <t>Lewatit S 1567</t>
  </si>
  <si>
    <t>Lanxess</t>
  </si>
  <si>
    <t>Monomodal Gel (8% DVB)</t>
  </si>
  <si>
    <t>Monodisperse (UPS)</t>
  </si>
  <si>
    <t>Monodisperse food-grade SAC resin. High exchange kinetics, high operating capacity.</t>
  </si>
  <si>
    <t>STANDARD PRESSURE VESSEL SIZING CATALOG (FRP / STEEL)</t>
  </si>
  <si>
    <t>Nominal Size (in)</t>
  </si>
  <si>
    <t>Dia D (in)</t>
  </si>
  <si>
    <t>Dia D (mm)</t>
  </si>
  <si>
    <t>Height H (in)</t>
  </si>
  <si>
    <t>Height H (mm)</t>
  </si>
  <si>
    <t>Area A (m2)</t>
  </si>
  <si>
    <t>Area A (ft2)</t>
  </si>
  <si>
    <t>Min Resin Vol (L)</t>
  </si>
  <si>
    <t>Max Resin Vol (L)</t>
  </si>
  <si>
    <t>Nominal Flow @ 20 m/h (m3/h)</t>
  </si>
  <si>
    <t>Max Peak Flow @ 35 m/h (m3/h)</t>
  </si>
  <si>
    <t>10x54</t>
  </si>
  <si>
    <t>12x52</t>
  </si>
  <si>
    <t>13x54</t>
  </si>
  <si>
    <t>14x65</t>
  </si>
  <si>
    <t>16x65</t>
  </si>
  <si>
    <t>18x65</t>
  </si>
  <si>
    <t>21x62</t>
  </si>
  <si>
    <t>24x72</t>
  </si>
  <si>
    <t>30x72</t>
  </si>
  <si>
    <t>36x72</t>
  </si>
  <si>
    <t>42x72</t>
  </si>
  <si>
    <t>48x72</t>
  </si>
  <si>
    <t>54x72</t>
  </si>
  <si>
    <t>60x72</t>
  </si>
  <si>
    <t>63x86</t>
  </si>
  <si>
    <t>72x96</t>
  </si>
  <si>
    <t>84x96</t>
  </si>
  <si>
    <t>96x120</t>
  </si>
  <si>
    <t>ION EXCHANGE SOFTENER DESIGN - CALCULATION REFERENCE &amp; FORMULAS</t>
  </si>
  <si>
    <t>Design Parameter</t>
  </si>
  <si>
    <t>Formula / Standard Method</t>
  </si>
  <si>
    <t>Engineering Description &amp; Standard Notes</t>
  </si>
  <si>
    <t>1. Flow &amp; Volume Conversions</t>
  </si>
  <si>
    <t>Formula / Rule</t>
  </si>
  <si>
    <t>Description</t>
  </si>
  <si>
    <t>Gross Flow (gpm)</t>
  </si>
  <si>
    <t>Q (m3/h) * 4.40287</t>
  </si>
  <si>
    <t>US Gallons per minute conversion</t>
  </si>
  <si>
    <t>Run Length (days)</t>
  </si>
  <si>
    <t>Run length (h) / 24</t>
  </si>
  <si>
    <t>Days of service cycle</t>
  </si>
  <si>
    <t>Run Volume (m3)</t>
  </si>
  <si>
    <t>Q (m3/h) * Run length (h)</t>
  </si>
  <si>
    <t>Total volume treated per service cycle</t>
  </si>
  <si>
    <t>Run Volume (gal)</t>
  </si>
  <si>
    <t>Run Volume (m3) * 264.172</t>
  </si>
  <si>
    <t>US Gallons treated per service cycle</t>
  </si>
  <si>
    <t>2. Water Chemistry Conversions</t>
  </si>
  <si>
    <t>Hardness Ci (meq/L)</t>
  </si>
  <si>
    <t>Hardness (mg/L CaCO3) / 50</t>
  </si>
  <si>
    <t>1 meq/L = 50 mg/L as CaCO3 = 5 deg fH = 2.8 deg dH = 2.92 gpg</t>
  </si>
  <si>
    <t>Sodium C_Na (meq/L)</t>
  </si>
  <si>
    <t>Sodium (mg/L) / 23</t>
  </si>
  <si>
    <t>1 meq/L Na+ = 23 mg/L Na+</t>
  </si>
  <si>
    <t>Design Temp (deg F)</t>
  </si>
  <si>
    <t>(Temp_C * 1.8) + 32</t>
  </si>
  <si>
    <t>Fahrenheit conversion</t>
  </si>
  <si>
    <t>3. Resin Operating Capacity &amp; Sizing</t>
  </si>
  <si>
    <t>Operating Capacity OEC (eq/L)</t>
  </si>
  <si>
    <t>Dynamic Lookup from Resin DB based on Regeneration Level (g/L NaCl)</t>
  </si>
  <si>
    <t>Net usable capacity per liter of resin under specified regenerant dosage</t>
  </si>
  <si>
    <t>Total Hardness Load (eq)</t>
  </si>
  <si>
    <t>Run Volume (m3) * Hardness Ci (meq/L) * 1000 / 1000</t>
  </si>
  <si>
    <t>Total chemical equivalents of Ca2+ &amp; Mg2+ to exchange</t>
  </si>
  <si>
    <t>Resin Volume Vr (L)</t>
  </si>
  <si>
    <t>(Total Load / OEC) * Safety Factor</t>
  </si>
  <si>
    <t>Liters of Strong Acid Cation (SAC) resin required</t>
  </si>
  <si>
    <t>Resin Volume Vr (ft3)</t>
  </si>
  <si>
    <t>Vr (L) / 28.3168</t>
  </si>
  <si>
    <t>Cubic feet of resin</t>
  </si>
  <si>
    <t>4. Vessel Geometry &amp; Hydraulics</t>
  </si>
  <si>
    <t>Column Diameter D (mm)</t>
  </si>
  <si>
    <t>Lookup Standard Vessel matching linear velocity 15 - 25 m/h</t>
  </si>
  <si>
    <t>Internal diameter of cylindrical pressure vessel</t>
  </si>
  <si>
    <t>Cross-Sectional Area A (m2)</t>
  </si>
  <si>
    <t>PI() * (D / 1000)^2 / 4</t>
  </si>
  <si>
    <t>Vessel internal cross-sectional area</t>
  </si>
  <si>
    <t>Resin Bed Depth Hr (mm)</t>
  </si>
  <si>
    <t>(Vr / 1000) / A * 1000</t>
  </si>
  <si>
    <t>Height of settled resin bed (Recommended: 800 - 2000 mm)</t>
  </si>
  <si>
    <t>Column Height H (mm)</t>
  </si>
  <si>
    <t>Standard shell height (or Hr * 1.75 + bottom distributor)</t>
  </si>
  <si>
    <t>Straight shell height including 50 - 75% freeboard for backwash</t>
  </si>
  <si>
    <t>Service Linear Velocity v (m/h)</t>
  </si>
  <si>
    <t>Q / A</t>
  </si>
  <si>
    <t>Recommended service rate: 15 - 25 m/h (max 35 m/h peak)</t>
  </si>
  <si>
    <t>Contact Time EBCT (min)</t>
  </si>
  <si>
    <t>(Vr / 1000) / Q * 60</t>
  </si>
  <si>
    <t>Empty Bed Contact Time (Recommended: 2 - 6 min)</t>
  </si>
  <si>
    <t>Specific Flow Rate (BV/h)</t>
  </si>
  <si>
    <t>Q / (Vr / 1000)</t>
  </si>
  <si>
    <t>Bed Volumes treated per hour (Recommended: 8 - 25 BV/h)</t>
  </si>
  <si>
    <t>Pressure Drop dP (bar)</t>
  </si>
  <si>
    <t>0.015 * v^1.1 * (Hr / 1000) * (1 + 0.025 * (20 - Temp_C))</t>
  </si>
  <si>
    <t>Clean bed pressure drop corrected for fluid temperature &amp; viscosity</t>
  </si>
  <si>
    <t>Final Safety Factor</t>
  </si>
  <si>
    <t>(Vr_actual * OEC) / Total Load</t>
  </si>
  <si>
    <t>Effective safety factor provided by actual rounded vessel resin volume</t>
  </si>
  <si>
    <t>5. Regeneration Chemical &amp; Sequence</t>
  </si>
  <si>
    <t>NaCl @ 100% (kg)</t>
  </si>
  <si>
    <t>Vr (L) * Regeneration_Level (g/L) / 1000</t>
  </si>
  <si>
    <t>Pure dry sodium chloride requirement per regeneration cycle</t>
  </si>
  <si>
    <t>Diluted NaCl Volume (L)</t>
  </si>
  <si>
    <t>NaCl_kg / (NaCl_conc% * 1.07)</t>
  </si>
  <si>
    <t>Volume of 10% brine solution (density ~1.07 kg/L) to inject</t>
  </si>
  <si>
    <t>Step 1 Backwash Qb (m3/h)</t>
  </si>
  <si>
    <t>A * 12 * (1 + 0.025 * (Temp_C - 20))</t>
  </si>
  <si>
    <t>Upflow velocity 10 - 15 m/h adjusted for temperature, 10 - 15 min duration</t>
  </si>
  <si>
    <t>Step 2 NaCl Injection Qr (m3/h)</t>
  </si>
  <si>
    <t>Diluted_Brine_Vol_m3 / (30 / 60)</t>
  </si>
  <si>
    <t>Downflow brine draw at ~3 BV/h, 30 min duration</t>
  </si>
  <si>
    <t>Step 3 Displacement Qd (m3/h)</t>
  </si>
  <si>
    <t>Qr (same slow flow rate as brine draw)</t>
  </si>
  <si>
    <t>Downflow slow rinse with pure water for 1.5 - 2.0 BV, 30 - 45 min duration</t>
  </si>
  <si>
    <t>Step 4 Fast Rinse Qf (m3/h)</t>
  </si>
  <si>
    <t>A * 20</t>
  </si>
  <si>
    <t>Downflow service velocity rinse to drain until hardness Co &lt; 1 mg/L, 15 min</t>
  </si>
  <si>
    <t>Total Regeneration Water (m3)</t>
  </si>
  <si>
    <t>V_backwash + V_brine_water + V_displacement + V_fast_rinse</t>
  </si>
  <si>
    <t>Total water consumed for entire regeneration sequence</t>
  </si>
  <si>
    <t>Ion Exchange Softener design</t>
  </si>
  <si>
    <t>Gross flow - Q</t>
  </si>
  <si>
    <t>m3/h</t>
  </si>
  <si>
    <t>gpm</t>
  </si>
  <si>
    <t>Run length</t>
  </si>
  <si>
    <t>h</t>
  </si>
  <si>
    <t>days</t>
  </si>
  <si>
    <t>Run volume</t>
  </si>
  <si>
    <t>m3</t>
  </si>
  <si>
    <t>gal</t>
  </si>
  <si>
    <t>Feed water Hardness - Ci</t>
  </si>
  <si>
    <t>mg/L CaCO3</t>
  </si>
  <si>
    <t>meq/L</t>
  </si>
  <si>
    <t>Feed water Sodium concentration</t>
  </si>
  <si>
    <t>mg/L</t>
  </si>
  <si>
    <t>Design temperature</t>
  </si>
  <si>
    <t>deg C</t>
  </si>
  <si>
    <t>deg F</t>
  </si>
  <si>
    <t>Desired safety factor [1]</t>
  </si>
  <si>
    <t>Regeneration level</t>
  </si>
  <si>
    <t>g/L_resin</t>
  </si>
  <si>
    <t>NaCl injection concentration - Cr</t>
  </si>
  <si>
    <t>%</t>
  </si>
  <si>
    <t>Resin type [2]</t>
  </si>
  <si>
    <t>Operating Capacity (OEC):</t>
  </si>
  <si>
    <t>eq/L</t>
  </si>
  <si>
    <t>Resin volume - Vr</t>
  </si>
  <si>
    <t>L</t>
  </si>
  <si>
    <t>ft3</t>
  </si>
  <si>
    <t>Column internal diameter - D</t>
  </si>
  <si>
    <t>mm</t>
  </si>
  <si>
    <t>in</t>
  </si>
  <si>
    <t>Column cylindrical height - H</t>
  </si>
  <si>
    <t>Resin height - Hr</t>
  </si>
  <si>
    <t>Pressure drop at design temperature</t>
  </si>
  <si>
    <t>bar</t>
  </si>
  <si>
    <t>psi</t>
  </si>
  <si>
    <t>Final safety factor from column design [1]</t>
  </si>
  <si>
    <t>Contact time</t>
  </si>
  <si>
    <t>min</t>
  </si>
  <si>
    <t>BV/h</t>
  </si>
  <si>
    <t>Hardness leakage - Co</t>
  </si>
  <si>
    <t>NaCl @ 100% for regeneration</t>
  </si>
  <si>
    <t>kg</t>
  </si>
  <si>
    <t>lb</t>
  </si>
  <si>
    <t>Diluted NaCl volume for regeneration</t>
  </si>
  <si>
    <t>Water consumption for regeneration</t>
  </si>
  <si>
    <t>Overall regeneration duration</t>
  </si>
  <si>
    <t>Regeneration step 1 - backwash [3] - Qb</t>
  </si>
  <si>
    <t>Regeneration step 2 - NaCl injection [3] - Qr</t>
  </si>
  <si>
    <t>Regeneration step 3 - displacement [3] - Qd</t>
  </si>
  <si>
    <t>Regeneration step 4 - fast rinse [3] - Qf</t>
  </si>
  <si>
    <t>RESIN SELECTION RECOMMENDATION &amp; TECHNICAL ADVICE</t>
  </si>
  <si>
    <t>[1] Safety factor over the calculated resin volume. The final safety factor might be higher because the solver rounds up the resin volume. Typical: 1.05 to 1.15.</t>
  </si>
  <si>
    <t>[2] Suggested resins: AmberLite IRC120, AmberLite HPR1300, AmberLite HPR1200 or TapTec HCR-S.</t>
  </si>
  <si>
    <t>[3] Backwash in upflow direction. Operation, injection, displacement and rinse in downflow direction. Displacement is done only with water, no NaCl.</t>
  </si>
  <si>
    <t>Karakteristik Hidrolika &amp; Kimia</t>
  </si>
  <si>
    <t>Rekomendasi &amp; Alasan Teknis</t>
  </si>
  <si>
    <t>6. RECOMMENDATION GUIDELINES FOR REGENERATION LEVEL (NaCl Dosing)</t>
  </si>
  <si>
    <t>Dosing (g/L resin)</t>
  </si>
  <si>
    <t>OEC (eq/L) &amp; Salt Efficiency</t>
  </si>
  <si>
    <t>Recommended Application &amp; Target Water Quality</t>
  </si>
  <si>
    <t>80 - 100</t>
  </si>
  <si>
    <t>OEC: 0.88 - 1.05 eq/L | Salt Efficiency &gt; 55% | Leakage: 2.0 - 4.0 mg/L CaCO3</t>
  </si>
  <si>
    <t>Ecoâ€‘friendly / lightâ€‘duty residential &amp; small commercial. Lower resin capacity, higher salt usage.</t>
  </si>
  <si>
    <t>120 - 150 (RECOMMENDED)</t>
  </si>
  <si>
    <t>OEC: 1.20 - 1.35 eq/L | Salt Efficiency 42 - 48% | Leakage: 0.8 - 1.5 mg/L CaCO3</t>
  </si>
  <si>
    <t>Standard industrial &amp; commercial. Best balance between salt cost, resin capacity and water softness.</t>
  </si>
  <si>
    <t>200 - 250</t>
  </si>
  <si>
    <t>OEC: 1.45 - 1.60 eq/L | Salt Efficiency &lt; 32% | Leakage: &lt; 0.5 mg/L CaCO3</t>
  </si>
  <si>
    <t>Highâ€‘purity / boiler feed &amp; RO pretreatment. Minimal hardness residuals.</t>
  </si>
  <si>
    <t>&gt; 250</t>
  </si>
  <si>
    <t>OEC &gt; 1.60 eq/L | Very low salt efficiency | Negligible leakage</t>
  </si>
  <si>
    <t>Rarely used due to excessive salt demand and potential resin stress.</t>
  </si>
  <si>
    <t>7. RECOMMENDATION GUIDELINES FOR NaCl INJECTION CONCENTRATION (Cr %)</t>
  </si>
  <si>
    <t>Concentration (% w/w)</t>
  </si>
  <si>
    <t>Hydraulic &amp; Chemical Characteristics</t>
  </si>
  <si>
    <t>Recommendation &amp; Technical Reasoning</t>
  </si>
  <si>
    <t>&lt; 6</t>
  </si>
  <si>
    <t>Very dilute solution, large injection volume required.</t>
  </si>
  <si>
    <t>NOT RECOMMENDED: Inefficient use of water and low ion exchange driving force.</t>
  </si>
  <si>
    <t>8 - 10 (RECOMMENDED)</t>
  </si>
  <si>
    <t>Ideal viscosity (~1.07 kg/L), optimal Na+ diffusion, safe for resin.</t>
  </si>
  <si>
    <t>STANDARD INDUSTRY: Provides strong concentration gradient, 30â€‘min injection at ~3 BV/h, uniform distribution.</t>
  </si>
  <si>
    <t>More concentrated, reduced injection volume.</t>
  </si>
  <si>
    <t>OPTIONAL for large tanks if brine flow can be tightly controlled to avoid channeling.</t>
  </si>
  <si>
    <t>&gt; 15 (near saturation ~26%)</t>
  </si>
  <si>
    <t>High viscosity (~1.20 kg/L), risk of channeling and osmotic shock.</t>
  </si>
  <si>
    <t>NOT RECOMMENDED: Extreme density differences cause uneven flow and potential resin damage.</t>
  </si>
  <si>
    <t>12-15</t>
  </si>
  <si>
    <t>Feed flow</t>
  </si>
  <si>
    <t>Operating hour</t>
  </si>
  <si>
    <t>Hardness</t>
  </si>
  <si>
    <t>Total daily hardness load</t>
  </si>
  <si>
    <t>Resin capacity</t>
  </si>
  <si>
    <t>Resin volume</t>
  </si>
  <si>
    <t>15-30</t>
  </si>
  <si>
    <t>Minimum active resin bed depth</t>
  </si>
  <si>
    <t>Freeboard</t>
  </si>
  <si>
    <t>Salt mass per cycle</t>
  </si>
  <si>
    <t>Salt dosage</t>
  </si>
  <si>
    <t>mg/L as CaCO3</t>
  </si>
  <si>
    <t>kg NaCl/m3</t>
  </si>
  <si>
    <t>g/m3 as CaCO3</t>
  </si>
  <si>
    <t>Liters</t>
  </si>
  <si>
    <t>g CaCO3/L</t>
  </si>
  <si>
    <t>g CaCO3</t>
  </si>
  <si>
    <t>Recommended linear service velocity</t>
  </si>
  <si>
    <t>m3/h/m2</t>
  </si>
  <si>
    <t>Area</t>
  </si>
  <si>
    <t>m2</t>
  </si>
  <si>
    <t>Selected bed depth</t>
  </si>
  <si>
    <t>Height</t>
  </si>
  <si>
    <t>Diameter</t>
  </si>
  <si>
    <t>kg NaCl</t>
  </si>
  <si>
    <t>lb NaCl/ft3</t>
  </si>
  <si>
    <t>kg NaCl/ft3</t>
  </si>
  <si>
    <t>kg NaC/m3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</si>
</sst>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Aptos Narrow"/>
      <family val="2"/>
      <scheme val="minor"/>
    </font>
    <font>
      <b/>
      <sz val="14"/>
      <color rgb="FF222222"/>
      <name val="Aptos Narrow"/>
      <family val="2"/>
      <scheme val="minor"/>
    </font>
    <font>
      <b/>
      <sz val="11"/>
      <color rgb="FF8B0000"/>
      <name val="Aptos Narrow"/>
      <family val="2"/>
      <scheme val="minor"/>
    </font>
    <font>
      <sz val="9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9.5"/>
      <color rgb="FF000080"/>
      <name val="Aptos Narrow"/>
      <family val="2"/>
      <scheme val="minor"/>
    </font>
    <font>
      <sz val="8.5"/>
      <color rgb="FF444444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2C3E50"/>
        <bgColor indexed="64"/>
      </patternFill>
    </fill>
    <fill>
      <patternFill patternType="solid">
        <fgColor rgb="FFF2E1D9"/>
        <bgColor indexed="64"/>
      </patternFill>
    </fill>
    <fill>
      <patternFill patternType="solid">
        <fgColor rgb="FFEEECEA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3" borderId="1" xfId="0" applyFont="1" applyFill="1" applyBorder="1" applyAlignment="1">
      <alignment horizontal="center"/>
    </xf>
    <xf numFmtId="0" fontId="0" fillId="0" borderId="1" xfId="0" applyBorder="1"/>
    <xf numFmtId="49" fontId="0" fillId="0" borderId="0" xfId="0" applyNumberFormat="1"/>
    <xf numFmtId="49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/>
    <xf numFmtId="49" fontId="0" fillId="0" borderId="1" xfId="0" applyNumberFormat="1" applyBorder="1"/>
    <xf numFmtId="164" fontId="1" fillId="6" borderId="1" xfId="0" applyNumberFormat="1" applyFont="1" applyFill="1" applyBorder="1" applyAlignment="1">
      <alignment horizontal="center"/>
    </xf>
    <xf numFmtId="0" fontId="4" fillId="0" borderId="0" xfId="0" applyFont="1"/>
    <xf numFmtId="1" fontId="1" fillId="6" borderId="1" xfId="0" applyNumberFormat="1" applyFont="1" applyFill="1" applyBorder="1" applyAlignment="1">
      <alignment horizontal="center"/>
    </xf>
    <xf numFmtId="3" fontId="1" fillId="6" borderId="1" xfId="0" applyNumberFormat="1" applyFont="1" applyFill="1" applyBorder="1" applyAlignment="1">
      <alignment horizontal="center"/>
    </xf>
    <xf numFmtId="2" fontId="1" fillId="6" borderId="1" xfId="0" applyNumberFormat="1" applyFont="1" applyFill="1" applyBorder="1" applyAlignment="1">
      <alignment horizontal="center"/>
    </xf>
    <xf numFmtId="0" fontId="5" fillId="0" borderId="0" xfId="0" applyFont="1"/>
    <xf numFmtId="0" fontId="6" fillId="0" borderId="0" xfId="0" applyFont="1"/>
    <xf numFmtId="2" fontId="7" fillId="0" borderId="0" xfId="0" applyNumberFormat="1" applyFont="1"/>
    <xf numFmtId="3" fontId="1" fillId="7" borderId="1" xfId="0" applyNumberFormat="1" applyFont="1" applyFill="1" applyBorder="1" applyAlignment="1">
      <alignment horizontal="center"/>
    </xf>
    <xf numFmtId="164" fontId="1" fillId="7" borderId="1" xfId="0" applyNumberFormat="1" applyFont="1" applyFill="1" applyBorder="1" applyAlignment="1">
      <alignment horizontal="center"/>
    </xf>
    <xf numFmtId="1" fontId="1" fillId="7" borderId="1" xfId="0" applyNumberFormat="1" applyFont="1" applyFill="1" applyBorder="1" applyAlignment="1">
      <alignment horizontal="center"/>
    </xf>
    <xf numFmtId="2" fontId="1" fillId="7" borderId="1" xfId="0" applyNumberFormat="1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1" fillId="3" borderId="0" xfId="0" applyFont="1" applyFill="1"/>
    <xf numFmtId="0" fontId="1" fillId="4" borderId="0" xfId="0" applyFont="1" applyFill="1"/>
    <xf numFmtId="49" fontId="0" fillId="3" borderId="0" xfId="0" applyNumberFormat="1" applyFill="1"/>
    <xf numFmtId="0" fontId="0" fillId="3" borderId="0" xfId="0" applyFill="1"/>
    <xf numFmtId="16" fontId="0" fillId="0" borderId="1" xfId="0" quotePrefix="1" applyNumberFormat="1" applyBorder="1"/>
    <xf numFmtId="9" fontId="0" fillId="0" borderId="0" xfId="0" applyNumberFormat="1"/>
    <xf numFmtId="0" fontId="10" fillId="0" borderId="0" xfId="0" applyFont="1"/>
    <xf numFmtId="0" fontId="3" fillId="5" borderId="0" xfId="0" applyFont="1" applyFill="1" applyAlignment="1">
      <alignment vertical="center"/>
    </xf>
    <xf numFmtId="0" fontId="1" fillId="6" borderId="2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8" fillId="3" borderId="0" xfId="0" applyFont="1" applyFill="1"/>
    <xf numFmtId="0" fontId="9" fillId="0" borderId="0" xfId="0" applyFont="1" applyAlignment="1">
      <alignment vertical="center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317500</xdr:colOff>
      <xdr:row>28</xdr:row>
      <xdr:rowOff>63500</xdr:rowOff>
    </xdr:from>
    <xdr:to>
      <xdr:col>9</xdr:col>
      <xdr:colOff>332740</xdr:colOff>
      <xdr:row>44</xdr:row>
      <xdr:rowOff>121920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E02284-A602-18D7-E5C9-6B76A6658E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63080" y="5382260"/>
          <a:ext cx="3619500" cy="298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65FC0-B630-4C95-A7E7-AB4DDDA0CDD7}">
  <dimension ref="B2:L50"/>
  <sheetViews>
    <sheetView tabSelected="1" topLeftCell="A2" workbookViewId="0">
      <selection activeCell="C24" sqref="C24"/>
    </sheetView>
  </sheetViews>
  <sheetFormatPr defaultRowHeight="14.4" x14ac:dyDescent="0.3"/>
  <cols>
    <col min="1" max="1" width="3.77734375" customWidth="1"/>
    <col min="2" max="2" width="32.77734375" customWidth="1"/>
    <col min="3" max="3" width="13.77734375" customWidth="1"/>
    <col min="4" max="4" width="15.77734375" customWidth="1"/>
    <col min="5" max="5" width="13.77734375" customWidth="1"/>
    <col min="6" max="6" width="10.77734375" customWidth="1"/>
    <col min="7" max="7" width="4.77734375" customWidth="1"/>
    <col min="8" max="8" width="38.77734375" customWidth="1"/>
    <col min="9" max="9" width="13.77734375" customWidth="1"/>
    <col min="10" max="10" width="16.77734375" customWidth="1"/>
    <col min="11" max="11" width="13.77734375" customWidth="1"/>
    <col min="12" max="12" width="10.77734375" customWidth="1"/>
    <col min="13" max="13" width="3.77734375" customWidth="1"/>
  </cols>
  <sheetData>
    <row r="2" spans="2:12" ht="30" customHeight="1" x14ac:dyDescent="0.3">
      <c r="B2" s="28" t="s">
        <v>159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4" spans="2:12" x14ac:dyDescent="0.3">
      <c r="B4" s="1" t="s">
        <v>160</v>
      </c>
      <c r="H4" s="1" t="s">
        <v>185</v>
      </c>
    </row>
    <row r="5" spans="2:12" x14ac:dyDescent="0.3">
      <c r="C5" s="8">
        <v>10</v>
      </c>
      <c r="D5" s="9" t="s">
        <v>161</v>
      </c>
      <c r="E5" s="8">
        <f>C5*4.40287</f>
        <v>44.028700000000001</v>
      </c>
      <c r="F5" s="9" t="s">
        <v>162</v>
      </c>
      <c r="I5" s="16">
        <f>ROUNDUP((C9*E11/C24)*C17, 0)</f>
        <v>813</v>
      </c>
      <c r="J5" s="9" t="s">
        <v>186</v>
      </c>
      <c r="K5" s="17">
        <f>I5/28.3168</f>
        <v>28.710871284890949</v>
      </c>
      <c r="L5" s="9" t="s">
        <v>187</v>
      </c>
    </row>
    <row r="6" spans="2:12" x14ac:dyDescent="0.3">
      <c r="B6" s="1" t="s">
        <v>163</v>
      </c>
      <c r="H6" s="1" t="s">
        <v>188</v>
      </c>
    </row>
    <row r="7" spans="2:12" x14ac:dyDescent="0.3">
      <c r="C7" s="10">
        <v>24</v>
      </c>
      <c r="D7" s="9" t="s">
        <v>164</v>
      </c>
      <c r="E7" s="8">
        <f>C7/24</f>
        <v>1</v>
      </c>
      <c r="F7" s="9" t="s">
        <v>165</v>
      </c>
      <c r="I7" s="18">
        <f>IFERROR(INDEX('Vessel Sizing'!C4:C21, MATCH(TRUE, INDEX(('Vessel Sizing'!J4:J21&gt;=C5), 0), 0)), ROUND(SQRT((4*(C5/20))/PI())*1000, 0))</f>
        <v>914</v>
      </c>
      <c r="J7" s="9" t="s">
        <v>189</v>
      </c>
      <c r="K7" s="17">
        <f>I7/25.4</f>
        <v>35.984251968503941</v>
      </c>
      <c r="L7" s="9" t="s">
        <v>190</v>
      </c>
    </row>
    <row r="8" spans="2:12" x14ac:dyDescent="0.3">
      <c r="B8" s="1" t="s">
        <v>166</v>
      </c>
      <c r="H8" s="1" t="s">
        <v>191</v>
      </c>
    </row>
    <row r="9" spans="2:12" x14ac:dyDescent="0.3">
      <c r="C9" s="8">
        <f>C5*C7</f>
        <v>240</v>
      </c>
      <c r="D9" s="9" t="s">
        <v>167</v>
      </c>
      <c r="E9" s="11">
        <f>C9*264.172</f>
        <v>63401.280000000006</v>
      </c>
      <c r="F9" s="9" t="s">
        <v>168</v>
      </c>
      <c r="I9" s="18">
        <f>IFERROR(VLOOKUP(ROUND(K7,0), 'Vessel Sizing'!B4:E21, 4, FALSE), ROUND(I11*1.75, 0))</f>
        <v>1829</v>
      </c>
      <c r="J9" s="9" t="s">
        <v>189</v>
      </c>
      <c r="K9" s="17">
        <f>I9/25.4</f>
        <v>72.00787401574803</v>
      </c>
      <c r="L9" s="9" t="s">
        <v>190</v>
      </c>
    </row>
    <row r="10" spans="2:12" x14ac:dyDescent="0.3">
      <c r="B10" s="1" t="s">
        <v>169</v>
      </c>
      <c r="H10" s="1" t="s">
        <v>192</v>
      </c>
    </row>
    <row r="11" spans="2:12" x14ac:dyDescent="0.3">
      <c r="C11" s="8">
        <v>200</v>
      </c>
      <c r="D11" s="9" t="s">
        <v>170</v>
      </c>
      <c r="E11" s="12">
        <f>C11/50</f>
        <v>4</v>
      </c>
      <c r="F11" s="9" t="s">
        <v>171</v>
      </c>
      <c r="I11" s="18">
        <f>ROUND(((I5/1000)/(PI()*(I7/1000)^2/4))*1000, 0)</f>
        <v>1239</v>
      </c>
      <c r="J11" s="9" t="s">
        <v>189</v>
      </c>
      <c r="K11" s="17">
        <f>I11/25.4</f>
        <v>48.779527559055119</v>
      </c>
      <c r="L11" s="9" t="s">
        <v>190</v>
      </c>
    </row>
    <row r="12" spans="2:12" x14ac:dyDescent="0.3">
      <c r="B12" s="1" t="s">
        <v>172</v>
      </c>
      <c r="H12" s="1" t="s">
        <v>193</v>
      </c>
    </row>
    <row r="13" spans="2:12" x14ac:dyDescent="0.3">
      <c r="C13" s="8">
        <v>0</v>
      </c>
      <c r="D13" s="9" t="s">
        <v>173</v>
      </c>
      <c r="E13" s="12">
        <f>C13/23</f>
        <v>0</v>
      </c>
      <c r="F13" s="9" t="s">
        <v>171</v>
      </c>
      <c r="I13" s="19">
        <f>ROUND(0.015 * ((C5/(PI()*(I7/1000)^2/4))^1.1) * (I11/1000) * (1 + 0.025*(20-C15)), 2)</f>
        <v>0.37</v>
      </c>
      <c r="J13" s="9" t="s">
        <v>194</v>
      </c>
      <c r="K13" s="17">
        <f>I13*14.5038</f>
        <v>5.3664059999999996</v>
      </c>
      <c r="L13" s="9" t="s">
        <v>195</v>
      </c>
    </row>
    <row r="14" spans="2:12" x14ac:dyDescent="0.3">
      <c r="B14" s="1" t="s">
        <v>174</v>
      </c>
      <c r="H14" s="1" t="s">
        <v>196</v>
      </c>
    </row>
    <row r="15" spans="2:12" x14ac:dyDescent="0.3">
      <c r="C15" s="10">
        <v>20</v>
      </c>
      <c r="D15" s="9" t="s">
        <v>175</v>
      </c>
      <c r="E15" s="10">
        <f>(C15*1.8)+32</f>
        <v>68</v>
      </c>
      <c r="F15" s="9" t="s">
        <v>176</v>
      </c>
      <c r="I15" s="19">
        <f>ROUND((I5 * C24) / (C9 * E11), 2)</f>
        <v>1.1000000000000001</v>
      </c>
    </row>
    <row r="16" spans="2:12" x14ac:dyDescent="0.3">
      <c r="B16" s="1" t="s">
        <v>177</v>
      </c>
      <c r="H16" s="1" t="s">
        <v>197</v>
      </c>
    </row>
    <row r="17" spans="2:12" x14ac:dyDescent="0.3">
      <c r="C17" s="12">
        <v>1.1000000000000001</v>
      </c>
      <c r="I17" s="17">
        <f>ROUND((I5/1000)/C5*60, 1)</f>
        <v>4.9000000000000004</v>
      </c>
      <c r="J17" s="9" t="s">
        <v>198</v>
      </c>
      <c r="K17" s="17">
        <f>ROUND(C5/(I5/1000), 1)</f>
        <v>12.3</v>
      </c>
      <c r="L17" s="9" t="s">
        <v>199</v>
      </c>
    </row>
    <row r="18" spans="2:12" x14ac:dyDescent="0.3">
      <c r="B18" s="1" t="s">
        <v>178</v>
      </c>
      <c r="H18" s="1" t="s">
        <v>200</v>
      </c>
    </row>
    <row r="19" spans="2:12" x14ac:dyDescent="0.3">
      <c r="C19" s="10">
        <v>150</v>
      </c>
      <c r="D19" s="9" t="s">
        <v>179</v>
      </c>
      <c r="I19" s="17">
        <f>IF(C19&gt;=200, 0.5, IF(C19&gt;=150, 1, IF(C19&gt;=120, 1.5, 2)))</f>
        <v>1</v>
      </c>
      <c r="J19" s="9" t="s">
        <v>170</v>
      </c>
      <c r="K19" s="19">
        <f>I19/50</f>
        <v>0.02</v>
      </c>
      <c r="L19" s="9" t="s">
        <v>171</v>
      </c>
    </row>
    <row r="20" spans="2:12" x14ac:dyDescent="0.3">
      <c r="B20" s="1" t="s">
        <v>180</v>
      </c>
      <c r="H20" s="1" t="s">
        <v>201</v>
      </c>
    </row>
    <row r="21" spans="2:12" x14ac:dyDescent="0.3">
      <c r="C21" s="10">
        <v>10</v>
      </c>
      <c r="D21" s="9" t="s">
        <v>181</v>
      </c>
      <c r="I21" s="20">
        <f>ROUND(I5*C19/1000, 1)</f>
        <v>122</v>
      </c>
      <c r="J21" s="9" t="s">
        <v>202</v>
      </c>
      <c r="K21" s="20">
        <f>I21*2.20462</f>
        <v>268.96364</v>
      </c>
      <c r="L21" s="9" t="s">
        <v>203</v>
      </c>
    </row>
    <row r="22" spans="2:12" x14ac:dyDescent="0.3">
      <c r="B22" s="1" t="s">
        <v>182</v>
      </c>
      <c r="H22" s="1" t="s">
        <v>204</v>
      </c>
    </row>
    <row r="23" spans="2:12" x14ac:dyDescent="0.3">
      <c r="B23" s="29" t="s">
        <v>14</v>
      </c>
      <c r="C23" s="30"/>
      <c r="D23" s="31"/>
      <c r="I23" s="16">
        <f>ROUND(I21/(C21/100*1.07), 0)</f>
        <v>1140</v>
      </c>
      <c r="J23" s="9" t="s">
        <v>186</v>
      </c>
      <c r="K23" s="16">
        <f>I23*0.264172</f>
        <v>301.15608000000003</v>
      </c>
      <c r="L23" s="9" t="s">
        <v>168</v>
      </c>
    </row>
    <row r="24" spans="2:12" x14ac:dyDescent="0.3">
      <c r="B24" s="14" t="s">
        <v>183</v>
      </c>
      <c r="C24" s="15">
        <f>IF(C19=80, VLOOKUP(B23, 'Resin Database'!A4:M9, 6, FALSE), IF(C19=120, VLOOKUP(B23, 'Resin Database'!A4:M9, 7, FALSE), IF(C19=150, VLOOKUP(B23, 'Resin Database'!A4:M9, 8, FALSE), IF(C19=200, VLOOKUP(B23, 'Resin Database'!A4:M9, 9, FALSE), IF(C19=250, VLOOKUP(B23, 'Resin Database'!A4:M9, 10, FALSE), VLOOKUP(B23, 'Resin Database'!A4:M9, 8, FALSE))))))</f>
        <v>1.3</v>
      </c>
      <c r="D24" s="13" t="s">
        <v>184</v>
      </c>
      <c r="H24" s="1" t="s">
        <v>205</v>
      </c>
    </row>
    <row r="25" spans="2:12" x14ac:dyDescent="0.3">
      <c r="I25" s="19">
        <f>ROUND((C29*C30/60) + (I23/1000*(1-C21/100)) + (C37*C38/60) + (C41*C42/60), 2)</f>
        <v>7.6</v>
      </c>
      <c r="J25" s="9" t="s">
        <v>167</v>
      </c>
      <c r="K25" s="16">
        <f>I25*264.172</f>
        <v>2007.7072000000001</v>
      </c>
      <c r="L25" s="9" t="s">
        <v>168</v>
      </c>
    </row>
    <row r="26" spans="2:12" x14ac:dyDescent="0.3">
      <c r="H26" s="1" t="s">
        <v>206</v>
      </c>
    </row>
    <row r="27" spans="2:12" x14ac:dyDescent="0.3">
      <c r="I27" s="18">
        <f>C30+C34+C38+C42</f>
        <v>95</v>
      </c>
      <c r="J27" s="9" t="s">
        <v>198</v>
      </c>
      <c r="K27" s="19">
        <f>I27/60</f>
        <v>1.5833333333333333</v>
      </c>
      <c r="L27" s="9" t="s">
        <v>164</v>
      </c>
    </row>
    <row r="28" spans="2:12" x14ac:dyDescent="0.3">
      <c r="B28" s="1" t="s">
        <v>207</v>
      </c>
    </row>
    <row r="29" spans="2:12" x14ac:dyDescent="0.3">
      <c r="C29" s="19">
        <f>ROUND((PI()*(I7/1000)^2/4) * (12 * (1 + 0.025*(C15-20))), 2)</f>
        <v>7.87</v>
      </c>
      <c r="D29" s="9" t="s">
        <v>161</v>
      </c>
      <c r="E29" s="17">
        <f>C29*4.40287</f>
        <v>34.6505869</v>
      </c>
      <c r="F29" s="9" t="s">
        <v>162</v>
      </c>
    </row>
    <row r="30" spans="2:12" x14ac:dyDescent="0.3">
      <c r="C30" s="18">
        <v>15</v>
      </c>
      <c r="D30" s="9" t="s">
        <v>198</v>
      </c>
      <c r="E30" s="19">
        <f>C30/60</f>
        <v>0.25</v>
      </c>
      <c r="F30" s="9" t="s">
        <v>164</v>
      </c>
    </row>
    <row r="32" spans="2:12" x14ac:dyDescent="0.3">
      <c r="B32" s="1" t="s">
        <v>208</v>
      </c>
    </row>
    <row r="33" spans="2:12" x14ac:dyDescent="0.3">
      <c r="C33" s="19">
        <f>ROUND((I23/1000)/(C34/60), 2)</f>
        <v>2.2799999999999998</v>
      </c>
      <c r="D33" s="9" t="s">
        <v>161</v>
      </c>
      <c r="E33" s="17">
        <f>C33*4.40287</f>
        <v>10.038543599999999</v>
      </c>
      <c r="F33" s="9" t="s">
        <v>162</v>
      </c>
    </row>
    <row r="34" spans="2:12" x14ac:dyDescent="0.3">
      <c r="C34" s="18">
        <v>30</v>
      </c>
      <c r="D34" s="9" t="s">
        <v>198</v>
      </c>
      <c r="E34" s="19">
        <f>C34/60</f>
        <v>0.5</v>
      </c>
      <c r="F34" s="9" t="s">
        <v>164</v>
      </c>
    </row>
    <row r="36" spans="2:12" x14ac:dyDescent="0.3">
      <c r="B36" s="1" t="s">
        <v>209</v>
      </c>
    </row>
    <row r="37" spans="2:12" x14ac:dyDescent="0.3">
      <c r="C37" s="19">
        <f>C33</f>
        <v>2.2799999999999998</v>
      </c>
      <c r="D37" s="9" t="s">
        <v>161</v>
      </c>
      <c r="E37" s="17">
        <f>C37*4.40287</f>
        <v>10.038543599999999</v>
      </c>
      <c r="F37" s="9" t="s">
        <v>162</v>
      </c>
    </row>
    <row r="38" spans="2:12" x14ac:dyDescent="0.3">
      <c r="C38" s="18">
        <v>35</v>
      </c>
      <c r="D38" s="9" t="s">
        <v>198</v>
      </c>
      <c r="E38" s="19">
        <f>C38/60</f>
        <v>0.58333333333333337</v>
      </c>
      <c r="F38" s="9" t="s">
        <v>164</v>
      </c>
    </row>
    <row r="40" spans="2:12" x14ac:dyDescent="0.3">
      <c r="B40" s="1" t="s">
        <v>210</v>
      </c>
    </row>
    <row r="41" spans="2:12" x14ac:dyDescent="0.3">
      <c r="C41" s="19">
        <f>ROUND((PI()*(I7/1000)^2/4) * 20, 2)</f>
        <v>13.12</v>
      </c>
      <c r="D41" s="9" t="s">
        <v>161</v>
      </c>
      <c r="E41" s="17">
        <f>C41*4.40287</f>
        <v>57.765654399999995</v>
      </c>
      <c r="F41" s="9" t="s">
        <v>162</v>
      </c>
    </row>
    <row r="42" spans="2:12" x14ac:dyDescent="0.3">
      <c r="C42" s="18">
        <v>15</v>
      </c>
      <c r="D42" s="9" t="s">
        <v>198</v>
      </c>
      <c r="E42" s="19">
        <f>C42/60</f>
        <v>0.25</v>
      </c>
      <c r="F42" s="9" t="s">
        <v>164</v>
      </c>
    </row>
    <row r="45" spans="2:12" x14ac:dyDescent="0.3">
      <c r="B45" s="32" t="s">
        <v>211</v>
      </c>
      <c r="C45" s="32"/>
      <c r="D45" s="32"/>
      <c r="E45" s="32"/>
      <c r="F45" s="32"/>
      <c r="G45" s="32"/>
      <c r="H45" s="32"/>
      <c r="I45" s="32"/>
      <c r="J45" s="32"/>
      <c r="K45" s="32"/>
      <c r="L45" s="32"/>
    </row>
    <row r="46" spans="2:12" ht="22.05" customHeight="1" x14ac:dyDescent="0.3">
      <c r="B46" s="33" t="str">
        <f>IF(C11&gt;400, "REKOMENDASI: Gunakan AmberLite HPR1300 Na (Kapasitas tinggi 2.2 eq/L &amp; cross-linking 10% untuk beban kesadahan tinggi &amp; air berat).", IF(C5&gt;25, "REKOMENDASI: Gunakan AmberLite HPR1200 Na (Uniform Particle Size untuk debit tinggi, kehilangan tekanan rendah &amp; kinetika cepat).", "REKOMENDASI: AmberLite IRC120 Na / TapTec HCR-S sangat ideal untuk aplikasi standar industri &amp; komersial dengan efisiensi biaya optimal."))</f>
        <v>REKOMENDASI: AmberLite IRC120 Na / TapTec HCR-S sangat ideal untuk aplikasi standar industri &amp; komersial dengan efisiensi biaya optimal.</v>
      </c>
      <c r="C46" s="33"/>
      <c r="D46" s="33"/>
      <c r="E46" s="33"/>
      <c r="F46" s="33"/>
      <c r="G46" s="33"/>
      <c r="H46" s="33"/>
      <c r="I46" s="33"/>
      <c r="J46" s="33"/>
      <c r="K46" s="33"/>
      <c r="L46" s="33"/>
    </row>
    <row r="48" spans="2:12" x14ac:dyDescent="0.3">
      <c r="B48" s="27" t="s">
        <v>212</v>
      </c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2:12" x14ac:dyDescent="0.3">
      <c r="B49" s="27" t="s">
        <v>213</v>
      </c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2:12" x14ac:dyDescent="0.3">
      <c r="B50" s="27" t="s">
        <v>214</v>
      </c>
      <c r="C50" s="27"/>
      <c r="D50" s="27"/>
      <c r="E50" s="27"/>
      <c r="F50" s="27"/>
      <c r="G50" s="27"/>
      <c r="H50" s="27"/>
      <c r="I50" s="27"/>
      <c r="J50" s="27"/>
      <c r="K50" s="27"/>
      <c r="L50" s="27"/>
    </row>
  </sheetData>
  <mergeCells count="7">
    <mergeCell ref="B50:L50"/>
    <mergeCell ref="B2:L2"/>
    <mergeCell ref="B23:D23"/>
    <mergeCell ref="B45:L45"/>
    <mergeCell ref="B46:L46"/>
    <mergeCell ref="B48:L48"/>
    <mergeCell ref="B49:L49"/>
  </mergeCells>
  <dataValidations count="3">
    <dataValidation type="list" allowBlank="1" showInputMessage="1" showErrorMessage="1" sqref="C19" xr:uid="{2852ADD0-10E0-4727-A27F-D522C8E78377}">
      <formula1>"80, 100, 120, 150, 200, 250"</formula1>
    </dataValidation>
    <dataValidation type="list" allowBlank="1" showInputMessage="1" showErrorMessage="1" sqref="C21" xr:uid="{AB8A1888-8452-491B-8DC9-791E22F3511C}">
      <formula1>"6, 8, 10, 12, 15"</formula1>
    </dataValidation>
    <dataValidation type="list" allowBlank="1" showInputMessage="1" showErrorMessage="1" sqref="B23" xr:uid="{51177E48-9606-44EA-8DB2-C3956B2409F9}">
      <formula1>"AmberLite IRC120 Na, AmberLite HPR1200 Na, AmberLite HPR1300 Na, TapTec HCR-S, Purolite C100E, Lewatit S 1567"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237B7-E593-48D9-B8F6-F97BA04FDC55}">
  <dimension ref="A1:M9"/>
  <sheetViews>
    <sheetView workbookViewId="0">
      <selection sqref="A1:M1"/>
    </sheetView>
  </sheetViews>
  <sheetFormatPr defaultRowHeight="14.4" x14ac:dyDescent="0.3"/>
  <cols>
    <col min="1" max="1" width="20" bestFit="1" customWidth="1"/>
    <col min="2" max="2" width="12" bestFit="1" customWidth="1"/>
    <col min="3" max="3" width="27.44140625" bestFit="1" customWidth="1"/>
    <col min="4" max="4" width="18.44140625" bestFit="1" customWidth="1"/>
    <col min="5" max="5" width="22.6640625" bestFit="1" customWidth="1"/>
    <col min="6" max="6" width="17" bestFit="1" customWidth="1"/>
    <col min="7" max="10" width="18.109375" bestFit="1" customWidth="1"/>
    <col min="11" max="11" width="15.6640625" bestFit="1" customWidth="1"/>
    <col min="12" max="12" width="8.77734375" bestFit="1" customWidth="1"/>
    <col min="13" max="13" width="87.6640625" bestFit="1" customWidth="1"/>
  </cols>
  <sheetData>
    <row r="1" spans="1:13" ht="28.05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3" spans="1:13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</row>
    <row r="4" spans="1:13" x14ac:dyDescent="0.3">
      <c r="A4" s="3" t="s">
        <v>14</v>
      </c>
      <c r="B4" s="3" t="s">
        <v>15</v>
      </c>
      <c r="C4" s="3" t="s">
        <v>16</v>
      </c>
      <c r="D4" s="3">
        <v>2</v>
      </c>
      <c r="E4" s="3" t="s">
        <v>17</v>
      </c>
      <c r="F4" s="3">
        <v>0.9</v>
      </c>
      <c r="G4" s="3">
        <v>1.1499999999999999</v>
      </c>
      <c r="H4" s="3">
        <v>1.3</v>
      </c>
      <c r="I4" s="3">
        <v>1.45</v>
      </c>
      <c r="J4" s="3">
        <v>1.55</v>
      </c>
      <c r="K4" s="3">
        <v>120</v>
      </c>
      <c r="L4" s="3" t="s">
        <v>18</v>
      </c>
      <c r="M4" s="3" t="s">
        <v>19</v>
      </c>
    </row>
    <row r="5" spans="1:13" x14ac:dyDescent="0.3">
      <c r="A5" s="3" t="s">
        <v>20</v>
      </c>
      <c r="B5" s="3" t="s">
        <v>15</v>
      </c>
      <c r="C5" s="3" t="s">
        <v>21</v>
      </c>
      <c r="D5" s="3">
        <v>2</v>
      </c>
      <c r="E5" s="3" t="s">
        <v>22</v>
      </c>
      <c r="F5" s="3">
        <v>0.95</v>
      </c>
      <c r="G5" s="3">
        <v>1.2</v>
      </c>
      <c r="H5" s="3">
        <v>1.35</v>
      </c>
      <c r="I5" s="3">
        <v>1.5</v>
      </c>
      <c r="J5" s="3">
        <v>1.6</v>
      </c>
      <c r="K5" s="3">
        <v>120</v>
      </c>
      <c r="L5" s="3" t="s">
        <v>18</v>
      </c>
      <c r="M5" s="3" t="s">
        <v>23</v>
      </c>
    </row>
    <row r="6" spans="1:13" x14ac:dyDescent="0.3">
      <c r="A6" s="3" t="s">
        <v>24</v>
      </c>
      <c r="B6" s="3" t="s">
        <v>15</v>
      </c>
      <c r="C6" s="3" t="s">
        <v>25</v>
      </c>
      <c r="D6" s="3">
        <v>2.2000000000000002</v>
      </c>
      <c r="E6" s="3" t="s">
        <v>22</v>
      </c>
      <c r="F6" s="3">
        <v>1</v>
      </c>
      <c r="G6" s="3">
        <v>1.28</v>
      </c>
      <c r="H6" s="3">
        <v>1.45</v>
      </c>
      <c r="I6" s="3">
        <v>1.62</v>
      </c>
      <c r="J6" s="3">
        <v>1.72</v>
      </c>
      <c r="K6" s="3">
        <v>130</v>
      </c>
      <c r="L6" s="3" t="s">
        <v>18</v>
      </c>
      <c r="M6" s="3" t="s">
        <v>26</v>
      </c>
    </row>
    <row r="7" spans="1:13" x14ac:dyDescent="0.3">
      <c r="A7" s="3" t="s">
        <v>27</v>
      </c>
      <c r="B7" s="3" t="s">
        <v>15</v>
      </c>
      <c r="C7" s="3" t="s">
        <v>16</v>
      </c>
      <c r="D7" s="3">
        <v>2</v>
      </c>
      <c r="E7" s="3" t="s">
        <v>17</v>
      </c>
      <c r="F7" s="3">
        <v>0.88</v>
      </c>
      <c r="G7" s="3">
        <v>1.1200000000000001</v>
      </c>
      <c r="H7" s="3">
        <v>1.28</v>
      </c>
      <c r="I7" s="3">
        <v>1.42</v>
      </c>
      <c r="J7" s="3">
        <v>1.52</v>
      </c>
      <c r="K7" s="3">
        <v>120</v>
      </c>
      <c r="L7" s="3" t="s">
        <v>18</v>
      </c>
      <c r="M7" s="3" t="s">
        <v>28</v>
      </c>
    </row>
    <row r="8" spans="1:13" x14ac:dyDescent="0.3">
      <c r="A8" s="3" t="s">
        <v>29</v>
      </c>
      <c r="B8" s="3" t="s">
        <v>30</v>
      </c>
      <c r="C8" s="3" t="s">
        <v>16</v>
      </c>
      <c r="D8" s="3">
        <v>2</v>
      </c>
      <c r="E8" s="3" t="s">
        <v>17</v>
      </c>
      <c r="F8" s="3">
        <v>0.88</v>
      </c>
      <c r="G8" s="3">
        <v>1.1299999999999999</v>
      </c>
      <c r="H8" s="3">
        <v>1.28</v>
      </c>
      <c r="I8" s="3">
        <v>1.43</v>
      </c>
      <c r="J8" s="3">
        <v>1.53</v>
      </c>
      <c r="K8" s="3">
        <v>120</v>
      </c>
      <c r="L8" s="3" t="s">
        <v>18</v>
      </c>
      <c r="M8" s="3" t="s">
        <v>31</v>
      </c>
    </row>
    <row r="9" spans="1:13" x14ac:dyDescent="0.3">
      <c r="A9" s="3" t="s">
        <v>32</v>
      </c>
      <c r="B9" s="3" t="s">
        <v>33</v>
      </c>
      <c r="C9" s="3" t="s">
        <v>34</v>
      </c>
      <c r="D9" s="3">
        <v>2</v>
      </c>
      <c r="E9" s="3" t="s">
        <v>35</v>
      </c>
      <c r="F9" s="3">
        <v>0.94</v>
      </c>
      <c r="G9" s="3">
        <v>1.2</v>
      </c>
      <c r="H9" s="3">
        <v>1.35</v>
      </c>
      <c r="I9" s="3">
        <v>1.5</v>
      </c>
      <c r="J9" s="3">
        <v>1.6</v>
      </c>
      <c r="K9" s="3">
        <v>120</v>
      </c>
      <c r="L9" s="3" t="s">
        <v>18</v>
      </c>
      <c r="M9" s="3" t="s">
        <v>36</v>
      </c>
    </row>
  </sheetData>
  <mergeCells count="1">
    <mergeCell ref="A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0EE297-CC90-4DF1-BA10-588AFE05FEF8}">
  <dimension ref="A1:K21"/>
  <sheetViews>
    <sheetView workbookViewId="0">
      <selection sqref="A1:K1"/>
    </sheetView>
  </sheetViews>
  <sheetFormatPr defaultRowHeight="14.4" x14ac:dyDescent="0.3"/>
  <cols>
    <col min="1" max="1" width="15.33203125" bestFit="1" customWidth="1"/>
    <col min="2" max="2" width="8.5546875" bestFit="1" customWidth="1"/>
    <col min="3" max="3" width="10.33203125" bestFit="1" customWidth="1"/>
    <col min="4" max="4" width="11.33203125" bestFit="1" customWidth="1"/>
    <col min="5" max="5" width="13.21875" bestFit="1" customWidth="1"/>
    <col min="6" max="6" width="10.5546875" bestFit="1" customWidth="1"/>
    <col min="7" max="7" width="10.109375" bestFit="1" customWidth="1"/>
    <col min="8" max="8" width="14.5546875" bestFit="1" customWidth="1"/>
    <col min="9" max="9" width="14.88671875" bestFit="1" customWidth="1"/>
    <col min="10" max="10" width="26.6640625" bestFit="1" customWidth="1"/>
    <col min="11" max="11" width="27.33203125" bestFit="1" customWidth="1"/>
  </cols>
  <sheetData>
    <row r="1" spans="1:11" ht="28.05" customHeight="1" x14ac:dyDescent="0.3">
      <c r="A1" s="34" t="s">
        <v>37</v>
      </c>
      <c r="B1" s="34"/>
      <c r="C1" s="34"/>
      <c r="D1" s="34"/>
      <c r="E1" s="34"/>
      <c r="F1" s="34"/>
      <c r="G1" s="34"/>
      <c r="H1" s="34"/>
      <c r="I1" s="34"/>
      <c r="J1" s="34"/>
      <c r="K1" s="34"/>
    </row>
    <row r="3" spans="1:11" x14ac:dyDescent="0.3">
      <c r="A3" s="2" t="s">
        <v>38</v>
      </c>
      <c r="B3" s="2" t="s">
        <v>39</v>
      </c>
      <c r="C3" s="2" t="s">
        <v>40</v>
      </c>
      <c r="D3" s="2" t="s">
        <v>41</v>
      </c>
      <c r="E3" s="2" t="s">
        <v>42</v>
      </c>
      <c r="F3" s="2" t="s">
        <v>43</v>
      </c>
      <c r="G3" s="2" t="s">
        <v>44</v>
      </c>
      <c r="H3" s="2" t="s">
        <v>45</v>
      </c>
      <c r="I3" s="2" t="s">
        <v>46</v>
      </c>
      <c r="J3" s="2" t="s">
        <v>47</v>
      </c>
      <c r="K3" s="2" t="s">
        <v>48</v>
      </c>
    </row>
    <row r="4" spans="1:11" x14ac:dyDescent="0.3">
      <c r="A4" s="3" t="s">
        <v>49</v>
      </c>
      <c r="B4" s="3">
        <v>10</v>
      </c>
      <c r="C4" s="3">
        <v>254</v>
      </c>
      <c r="D4" s="3">
        <v>54</v>
      </c>
      <c r="E4" s="3">
        <v>1372</v>
      </c>
      <c r="F4" s="3">
        <v>5.0700000000000002E-2</v>
      </c>
      <c r="G4" s="3">
        <v>0.54500000000000004</v>
      </c>
      <c r="H4" s="3">
        <v>40</v>
      </c>
      <c r="I4" s="3">
        <v>55</v>
      </c>
      <c r="J4" s="3">
        <v>1.01</v>
      </c>
      <c r="K4" s="3">
        <v>1.77</v>
      </c>
    </row>
    <row r="5" spans="1:11" x14ac:dyDescent="0.3">
      <c r="A5" s="3" t="s">
        <v>50</v>
      </c>
      <c r="B5" s="3">
        <v>12</v>
      </c>
      <c r="C5" s="3">
        <v>305</v>
      </c>
      <c r="D5" s="3">
        <v>52</v>
      </c>
      <c r="E5" s="3">
        <v>1321</v>
      </c>
      <c r="F5" s="3">
        <v>7.3099999999999998E-2</v>
      </c>
      <c r="G5" s="3">
        <v>0.78500000000000003</v>
      </c>
      <c r="H5" s="3">
        <v>60</v>
      </c>
      <c r="I5" s="3">
        <v>80</v>
      </c>
      <c r="J5" s="3">
        <v>1.46</v>
      </c>
      <c r="K5" s="3">
        <v>2.56</v>
      </c>
    </row>
    <row r="6" spans="1:11" x14ac:dyDescent="0.3">
      <c r="A6" s="3" t="s">
        <v>51</v>
      </c>
      <c r="B6" s="3">
        <v>13</v>
      </c>
      <c r="C6" s="3">
        <v>330</v>
      </c>
      <c r="D6" s="3">
        <v>54</v>
      </c>
      <c r="E6" s="3">
        <v>1372</v>
      </c>
      <c r="F6" s="3">
        <v>8.5500000000000007E-2</v>
      </c>
      <c r="G6" s="3">
        <v>0.92200000000000004</v>
      </c>
      <c r="H6" s="3">
        <v>75</v>
      </c>
      <c r="I6" s="3">
        <v>100</v>
      </c>
      <c r="J6" s="3">
        <v>1.71</v>
      </c>
      <c r="K6" s="3">
        <v>2.99</v>
      </c>
    </row>
    <row r="7" spans="1:11" x14ac:dyDescent="0.3">
      <c r="A7" s="3" t="s">
        <v>52</v>
      </c>
      <c r="B7" s="3">
        <v>14</v>
      </c>
      <c r="C7" s="3">
        <v>356</v>
      </c>
      <c r="D7" s="3">
        <v>65</v>
      </c>
      <c r="E7" s="3">
        <v>1651</v>
      </c>
      <c r="F7" s="3">
        <v>9.9500000000000005E-2</v>
      </c>
      <c r="G7" s="3">
        <v>1.069</v>
      </c>
      <c r="H7" s="3">
        <v>90</v>
      </c>
      <c r="I7" s="3">
        <v>125</v>
      </c>
      <c r="J7" s="3">
        <v>1.99</v>
      </c>
      <c r="K7" s="3">
        <v>3.48</v>
      </c>
    </row>
    <row r="8" spans="1:11" x14ac:dyDescent="0.3">
      <c r="A8" s="3" t="s">
        <v>53</v>
      </c>
      <c r="B8" s="3">
        <v>16</v>
      </c>
      <c r="C8" s="3">
        <v>406</v>
      </c>
      <c r="D8" s="3">
        <v>65</v>
      </c>
      <c r="E8" s="3">
        <v>1651</v>
      </c>
      <c r="F8" s="3">
        <v>0.1295</v>
      </c>
      <c r="G8" s="3">
        <v>1.3959999999999999</v>
      </c>
      <c r="H8" s="3">
        <v>120</v>
      </c>
      <c r="I8" s="3">
        <v>160</v>
      </c>
      <c r="J8" s="3">
        <v>2.59</v>
      </c>
      <c r="K8" s="3">
        <v>4.53</v>
      </c>
    </row>
    <row r="9" spans="1:11" x14ac:dyDescent="0.3">
      <c r="A9" s="3" t="s">
        <v>54</v>
      </c>
      <c r="B9" s="3">
        <v>18</v>
      </c>
      <c r="C9" s="3">
        <v>457</v>
      </c>
      <c r="D9" s="3">
        <v>65</v>
      </c>
      <c r="E9" s="3">
        <v>1651</v>
      </c>
      <c r="F9" s="3">
        <v>0.16400000000000001</v>
      </c>
      <c r="G9" s="3">
        <v>1.7669999999999999</v>
      </c>
      <c r="H9" s="3">
        <v>150</v>
      </c>
      <c r="I9" s="3">
        <v>200</v>
      </c>
      <c r="J9" s="3">
        <v>3.28</v>
      </c>
      <c r="K9" s="3">
        <v>5.74</v>
      </c>
    </row>
    <row r="10" spans="1:11" x14ac:dyDescent="0.3">
      <c r="A10" s="3" t="s">
        <v>55</v>
      </c>
      <c r="B10" s="3">
        <v>21</v>
      </c>
      <c r="C10" s="3">
        <v>533</v>
      </c>
      <c r="D10" s="3">
        <v>62</v>
      </c>
      <c r="E10" s="3">
        <v>1575</v>
      </c>
      <c r="F10" s="3">
        <v>0.22309999999999999</v>
      </c>
      <c r="G10" s="3">
        <v>2.4049999999999998</v>
      </c>
      <c r="H10" s="3">
        <v>200</v>
      </c>
      <c r="I10" s="3">
        <v>275</v>
      </c>
      <c r="J10" s="3">
        <v>4.46</v>
      </c>
      <c r="K10" s="3">
        <v>7.81</v>
      </c>
    </row>
    <row r="11" spans="1:11" x14ac:dyDescent="0.3">
      <c r="A11" s="3" t="s">
        <v>56</v>
      </c>
      <c r="B11" s="3">
        <v>24</v>
      </c>
      <c r="C11" s="3">
        <v>610</v>
      </c>
      <c r="D11" s="3">
        <v>72</v>
      </c>
      <c r="E11" s="3">
        <v>1829</v>
      </c>
      <c r="F11" s="3">
        <v>0.29220000000000002</v>
      </c>
      <c r="G11" s="3">
        <v>3.1419999999999999</v>
      </c>
      <c r="H11" s="3">
        <v>300</v>
      </c>
      <c r="I11" s="3">
        <v>400</v>
      </c>
      <c r="J11" s="3">
        <v>5.84</v>
      </c>
      <c r="K11" s="3">
        <v>10.23</v>
      </c>
    </row>
    <row r="12" spans="1:11" x14ac:dyDescent="0.3">
      <c r="A12" s="3" t="s">
        <v>57</v>
      </c>
      <c r="B12" s="3">
        <v>30</v>
      </c>
      <c r="C12" s="3">
        <v>762</v>
      </c>
      <c r="D12" s="3">
        <v>72</v>
      </c>
      <c r="E12" s="3">
        <v>1829</v>
      </c>
      <c r="F12" s="3">
        <v>0.45600000000000002</v>
      </c>
      <c r="G12" s="3">
        <v>4.9089999999999998</v>
      </c>
      <c r="H12" s="3">
        <v>450</v>
      </c>
      <c r="I12" s="3">
        <v>600</v>
      </c>
      <c r="J12" s="3">
        <v>9.1199999999999992</v>
      </c>
      <c r="K12" s="3">
        <v>15.96</v>
      </c>
    </row>
    <row r="13" spans="1:11" x14ac:dyDescent="0.3">
      <c r="A13" s="3" t="s">
        <v>58</v>
      </c>
      <c r="B13" s="3">
        <v>36</v>
      </c>
      <c r="C13" s="3">
        <v>914</v>
      </c>
      <c r="D13" s="3">
        <v>72</v>
      </c>
      <c r="E13" s="3">
        <v>1829</v>
      </c>
      <c r="F13" s="3">
        <v>0.65669999999999995</v>
      </c>
      <c r="G13" s="3">
        <v>7.069</v>
      </c>
      <c r="H13" s="3">
        <v>650</v>
      </c>
      <c r="I13" s="3">
        <v>850</v>
      </c>
      <c r="J13" s="3">
        <v>13.13</v>
      </c>
      <c r="K13" s="3">
        <v>22.98</v>
      </c>
    </row>
    <row r="14" spans="1:11" x14ac:dyDescent="0.3">
      <c r="A14" s="3" t="s">
        <v>59</v>
      </c>
      <c r="B14" s="3">
        <v>42</v>
      </c>
      <c r="C14" s="3">
        <v>1067</v>
      </c>
      <c r="D14" s="3">
        <v>72</v>
      </c>
      <c r="E14" s="3">
        <v>1829</v>
      </c>
      <c r="F14" s="3">
        <v>0.89410000000000001</v>
      </c>
      <c r="G14" s="3">
        <v>9.6210000000000004</v>
      </c>
      <c r="H14" s="3">
        <v>900</v>
      </c>
      <c r="I14" s="3">
        <v>1200</v>
      </c>
      <c r="J14" s="3">
        <v>17.88</v>
      </c>
      <c r="K14" s="3">
        <v>31.29</v>
      </c>
    </row>
    <row r="15" spans="1:11" x14ac:dyDescent="0.3">
      <c r="A15" s="3" t="s">
        <v>60</v>
      </c>
      <c r="B15" s="3">
        <v>48</v>
      </c>
      <c r="C15" s="3">
        <v>1219</v>
      </c>
      <c r="D15" s="3">
        <v>72</v>
      </c>
      <c r="E15" s="3">
        <v>1829</v>
      </c>
      <c r="F15" s="3">
        <v>1.1671</v>
      </c>
      <c r="G15" s="3">
        <v>12.566000000000001</v>
      </c>
      <c r="H15" s="3">
        <v>1200</v>
      </c>
      <c r="I15" s="3">
        <v>1500</v>
      </c>
      <c r="J15" s="3">
        <v>23.34</v>
      </c>
      <c r="K15" s="3">
        <v>40.85</v>
      </c>
    </row>
    <row r="16" spans="1:11" x14ac:dyDescent="0.3">
      <c r="A16" s="3" t="s">
        <v>61</v>
      </c>
      <c r="B16" s="3">
        <v>54</v>
      </c>
      <c r="C16" s="3">
        <v>1372</v>
      </c>
      <c r="D16" s="3">
        <v>72</v>
      </c>
      <c r="E16" s="3">
        <v>1829</v>
      </c>
      <c r="F16" s="3">
        <v>1.4783999999999999</v>
      </c>
      <c r="G16" s="3">
        <v>15.904</v>
      </c>
      <c r="H16" s="3">
        <v>1500</v>
      </c>
      <c r="I16" s="3">
        <v>2000</v>
      </c>
      <c r="J16" s="3">
        <v>29.57</v>
      </c>
      <c r="K16" s="3">
        <v>51.74</v>
      </c>
    </row>
    <row r="17" spans="1:11" x14ac:dyDescent="0.3">
      <c r="A17" s="3" t="s">
        <v>62</v>
      </c>
      <c r="B17" s="3">
        <v>60</v>
      </c>
      <c r="C17" s="3">
        <v>1524</v>
      </c>
      <c r="D17" s="3">
        <v>72</v>
      </c>
      <c r="E17" s="3">
        <v>1829</v>
      </c>
      <c r="F17" s="3">
        <v>1.8241000000000001</v>
      </c>
      <c r="G17" s="3">
        <v>19.635000000000002</v>
      </c>
      <c r="H17" s="3">
        <v>1800</v>
      </c>
      <c r="I17" s="3">
        <v>2400</v>
      </c>
      <c r="J17" s="3">
        <v>36.479999999999997</v>
      </c>
      <c r="K17" s="3">
        <v>63.84</v>
      </c>
    </row>
    <row r="18" spans="1:11" x14ac:dyDescent="0.3">
      <c r="A18" s="3" t="s">
        <v>63</v>
      </c>
      <c r="B18" s="3">
        <v>63</v>
      </c>
      <c r="C18" s="3">
        <v>1600</v>
      </c>
      <c r="D18" s="3">
        <v>86</v>
      </c>
      <c r="E18" s="3">
        <v>2184</v>
      </c>
      <c r="F18" s="3">
        <v>2.0106000000000002</v>
      </c>
      <c r="G18" s="3">
        <v>21.641999999999999</v>
      </c>
      <c r="H18" s="3">
        <v>2200</v>
      </c>
      <c r="I18" s="3">
        <v>3000</v>
      </c>
      <c r="J18" s="3">
        <v>40.21</v>
      </c>
      <c r="K18" s="3">
        <v>70.37</v>
      </c>
    </row>
    <row r="19" spans="1:11" x14ac:dyDescent="0.3">
      <c r="A19" s="3" t="s">
        <v>64</v>
      </c>
      <c r="B19" s="3">
        <v>72</v>
      </c>
      <c r="C19" s="3">
        <v>1829</v>
      </c>
      <c r="D19" s="3">
        <v>96</v>
      </c>
      <c r="E19" s="3">
        <v>2438</v>
      </c>
      <c r="F19" s="3">
        <v>2.6267999999999998</v>
      </c>
      <c r="G19" s="3">
        <v>28.274000000000001</v>
      </c>
      <c r="H19" s="3">
        <v>3000</v>
      </c>
      <c r="I19" s="3">
        <v>4200</v>
      </c>
      <c r="J19" s="3">
        <v>52.54</v>
      </c>
      <c r="K19" s="3">
        <v>91.94</v>
      </c>
    </row>
    <row r="20" spans="1:11" x14ac:dyDescent="0.3">
      <c r="A20" s="3" t="s">
        <v>65</v>
      </c>
      <c r="B20" s="3">
        <v>84</v>
      </c>
      <c r="C20" s="3">
        <v>2134</v>
      </c>
      <c r="D20" s="3">
        <v>96</v>
      </c>
      <c r="E20" s="3">
        <v>2438</v>
      </c>
      <c r="F20" s="3">
        <v>3.5767000000000002</v>
      </c>
      <c r="G20" s="3">
        <v>38.484999999999999</v>
      </c>
      <c r="H20" s="3">
        <v>4200</v>
      </c>
      <c r="I20" s="3">
        <v>5800</v>
      </c>
      <c r="J20" s="3">
        <v>71.53</v>
      </c>
      <c r="K20" s="3">
        <v>125.18</v>
      </c>
    </row>
    <row r="21" spans="1:11" x14ac:dyDescent="0.3">
      <c r="A21" s="3" t="s">
        <v>66</v>
      </c>
      <c r="B21" s="3">
        <v>96</v>
      </c>
      <c r="C21" s="3">
        <v>2438</v>
      </c>
      <c r="D21" s="3">
        <v>120</v>
      </c>
      <c r="E21" s="3">
        <v>3048</v>
      </c>
      <c r="F21" s="3">
        <v>4.6685999999999996</v>
      </c>
      <c r="G21" s="3">
        <v>50.265000000000001</v>
      </c>
      <c r="H21" s="3">
        <v>6000</v>
      </c>
      <c r="I21" s="3">
        <v>8000</v>
      </c>
      <c r="J21" s="3">
        <v>93.37</v>
      </c>
      <c r="K21" s="3">
        <v>163.4</v>
      </c>
    </row>
  </sheetData>
  <mergeCells count="1">
    <mergeCell ref="A1:K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58D39-6CEC-46AE-BC1B-7D854CA90F54}">
  <dimension ref="A1:C47"/>
  <sheetViews>
    <sheetView topLeftCell="A24" workbookViewId="0">
      <selection activeCell="A47" sqref="A47"/>
    </sheetView>
  </sheetViews>
  <sheetFormatPr defaultRowHeight="14.4" x14ac:dyDescent="0.3"/>
  <cols>
    <col min="1" max="1" width="35.77734375" customWidth="1"/>
    <col min="2" max="2" width="60.77734375" style="4" customWidth="1"/>
    <col min="3" max="3" width="75.77734375" customWidth="1"/>
  </cols>
  <sheetData>
    <row r="1" spans="1:3" ht="28.05" customHeight="1" x14ac:dyDescent="0.3">
      <c r="A1" s="34" t="s">
        <v>67</v>
      </c>
      <c r="B1" s="34"/>
      <c r="C1" s="34"/>
    </row>
    <row r="3" spans="1:3" x14ac:dyDescent="0.3">
      <c r="A3" s="2" t="s">
        <v>68</v>
      </c>
      <c r="B3" s="5" t="s">
        <v>69</v>
      </c>
      <c r="C3" s="2" t="s">
        <v>70</v>
      </c>
    </row>
    <row r="4" spans="1:3" x14ac:dyDescent="0.3">
      <c r="A4" s="6" t="s">
        <v>71</v>
      </c>
      <c r="B4" s="7" t="s">
        <v>72</v>
      </c>
      <c r="C4" s="3" t="s">
        <v>73</v>
      </c>
    </row>
    <row r="5" spans="1:3" x14ac:dyDescent="0.3">
      <c r="A5" s="3" t="s">
        <v>74</v>
      </c>
      <c r="B5" s="7" t="s">
        <v>75</v>
      </c>
      <c r="C5" s="3" t="s">
        <v>76</v>
      </c>
    </row>
    <row r="6" spans="1:3" x14ac:dyDescent="0.3">
      <c r="A6" s="3" t="s">
        <v>77</v>
      </c>
      <c r="B6" s="7" t="s">
        <v>78</v>
      </c>
      <c r="C6" s="3" t="s">
        <v>79</v>
      </c>
    </row>
    <row r="7" spans="1:3" x14ac:dyDescent="0.3">
      <c r="A7" s="3" t="s">
        <v>80</v>
      </c>
      <c r="B7" s="7" t="s">
        <v>81</v>
      </c>
      <c r="C7" s="3" t="s">
        <v>82</v>
      </c>
    </row>
    <row r="8" spans="1:3" x14ac:dyDescent="0.3">
      <c r="A8" s="3" t="s">
        <v>83</v>
      </c>
      <c r="B8" s="7" t="s">
        <v>84</v>
      </c>
      <c r="C8" s="3" t="s">
        <v>85</v>
      </c>
    </row>
    <row r="9" spans="1:3" x14ac:dyDescent="0.3">
      <c r="A9" s="6" t="s">
        <v>86</v>
      </c>
      <c r="B9" s="7" t="s">
        <v>72</v>
      </c>
      <c r="C9" s="3" t="s">
        <v>73</v>
      </c>
    </row>
    <row r="10" spans="1:3" x14ac:dyDescent="0.3">
      <c r="A10" s="3" t="s">
        <v>87</v>
      </c>
      <c r="B10" s="7" t="s">
        <v>88</v>
      </c>
      <c r="C10" s="3" t="s">
        <v>89</v>
      </c>
    </row>
    <row r="11" spans="1:3" x14ac:dyDescent="0.3">
      <c r="A11" s="3" t="s">
        <v>90</v>
      </c>
      <c r="B11" s="7" t="s">
        <v>91</v>
      </c>
      <c r="C11" s="3" t="s">
        <v>92</v>
      </c>
    </row>
    <row r="12" spans="1:3" x14ac:dyDescent="0.3">
      <c r="A12" s="3" t="s">
        <v>93</v>
      </c>
      <c r="B12" s="7" t="s">
        <v>94</v>
      </c>
      <c r="C12" s="3" t="s">
        <v>95</v>
      </c>
    </row>
    <row r="13" spans="1:3" x14ac:dyDescent="0.3">
      <c r="A13" s="6" t="s">
        <v>96</v>
      </c>
      <c r="B13" s="7" t="s">
        <v>72</v>
      </c>
      <c r="C13" s="3" t="s">
        <v>73</v>
      </c>
    </row>
    <row r="14" spans="1:3" x14ac:dyDescent="0.3">
      <c r="A14" s="3" t="s">
        <v>97</v>
      </c>
      <c r="B14" s="7" t="s">
        <v>98</v>
      </c>
      <c r="C14" s="3" t="s">
        <v>99</v>
      </c>
    </row>
    <row r="15" spans="1:3" x14ac:dyDescent="0.3">
      <c r="A15" s="3" t="s">
        <v>100</v>
      </c>
      <c r="B15" s="7" t="s">
        <v>101</v>
      </c>
      <c r="C15" s="3" t="s">
        <v>102</v>
      </c>
    </row>
    <row r="16" spans="1:3" x14ac:dyDescent="0.3">
      <c r="A16" s="3" t="s">
        <v>103</v>
      </c>
      <c r="B16" s="7" t="s">
        <v>104</v>
      </c>
      <c r="C16" s="3" t="s">
        <v>105</v>
      </c>
    </row>
    <row r="17" spans="1:3" x14ac:dyDescent="0.3">
      <c r="A17" s="3" t="s">
        <v>106</v>
      </c>
      <c r="B17" s="7" t="s">
        <v>107</v>
      </c>
      <c r="C17" s="3" t="s">
        <v>108</v>
      </c>
    </row>
    <row r="18" spans="1:3" x14ac:dyDescent="0.3">
      <c r="A18" s="6" t="s">
        <v>109</v>
      </c>
      <c r="B18" s="7" t="s">
        <v>72</v>
      </c>
      <c r="C18" s="3" t="s">
        <v>73</v>
      </c>
    </row>
    <row r="19" spans="1:3" x14ac:dyDescent="0.3">
      <c r="A19" s="3" t="s">
        <v>110</v>
      </c>
      <c r="B19" s="7" t="s">
        <v>111</v>
      </c>
      <c r="C19" s="3" t="s">
        <v>112</v>
      </c>
    </row>
    <row r="20" spans="1:3" x14ac:dyDescent="0.3">
      <c r="A20" s="3" t="s">
        <v>113</v>
      </c>
      <c r="B20" s="7" t="s">
        <v>114</v>
      </c>
      <c r="C20" s="3" t="s">
        <v>115</v>
      </c>
    </row>
    <row r="21" spans="1:3" x14ac:dyDescent="0.3">
      <c r="A21" s="3" t="s">
        <v>116</v>
      </c>
      <c r="B21" s="7" t="s">
        <v>117</v>
      </c>
      <c r="C21" s="3" t="s">
        <v>118</v>
      </c>
    </row>
    <row r="22" spans="1:3" x14ac:dyDescent="0.3">
      <c r="A22" s="3" t="s">
        <v>119</v>
      </c>
      <c r="B22" s="7" t="s">
        <v>120</v>
      </c>
      <c r="C22" s="3" t="s">
        <v>121</v>
      </c>
    </row>
    <row r="23" spans="1:3" x14ac:dyDescent="0.3">
      <c r="A23" s="3" t="s">
        <v>122</v>
      </c>
      <c r="B23" s="7" t="s">
        <v>123</v>
      </c>
      <c r="C23" s="3" t="s">
        <v>124</v>
      </c>
    </row>
    <row r="24" spans="1:3" x14ac:dyDescent="0.3">
      <c r="A24" s="3" t="s">
        <v>125</v>
      </c>
      <c r="B24" s="7" t="s">
        <v>126</v>
      </c>
      <c r="C24" s="3" t="s">
        <v>127</v>
      </c>
    </row>
    <row r="25" spans="1:3" x14ac:dyDescent="0.3">
      <c r="A25" s="3" t="s">
        <v>128</v>
      </c>
      <c r="B25" s="7" t="s">
        <v>129</v>
      </c>
      <c r="C25" s="3" t="s">
        <v>130</v>
      </c>
    </row>
    <row r="26" spans="1:3" x14ac:dyDescent="0.3">
      <c r="A26" s="3" t="s">
        <v>131</v>
      </c>
      <c r="B26" s="7" t="s">
        <v>132</v>
      </c>
      <c r="C26" s="3" t="s">
        <v>133</v>
      </c>
    </row>
    <row r="27" spans="1:3" x14ac:dyDescent="0.3">
      <c r="A27" s="3" t="s">
        <v>134</v>
      </c>
      <c r="B27" s="7" t="s">
        <v>135</v>
      </c>
      <c r="C27" s="3" t="s">
        <v>136</v>
      </c>
    </row>
    <row r="28" spans="1:3" x14ac:dyDescent="0.3">
      <c r="A28" s="6" t="s">
        <v>137</v>
      </c>
      <c r="B28" s="7" t="s">
        <v>72</v>
      </c>
      <c r="C28" s="3" t="s">
        <v>73</v>
      </c>
    </row>
    <row r="29" spans="1:3" x14ac:dyDescent="0.3">
      <c r="A29" s="3" t="s">
        <v>138</v>
      </c>
      <c r="B29" s="7" t="s">
        <v>139</v>
      </c>
      <c r="C29" s="3" t="s">
        <v>140</v>
      </c>
    </row>
    <row r="30" spans="1:3" x14ac:dyDescent="0.3">
      <c r="A30" s="3" t="s">
        <v>141</v>
      </c>
      <c r="B30" s="7" t="s">
        <v>142</v>
      </c>
      <c r="C30" s="3" t="s">
        <v>143</v>
      </c>
    </row>
    <row r="31" spans="1:3" x14ac:dyDescent="0.3">
      <c r="A31" s="3" t="s">
        <v>144</v>
      </c>
      <c r="B31" s="7" t="s">
        <v>145</v>
      </c>
      <c r="C31" s="3" t="s">
        <v>146</v>
      </c>
    </row>
    <row r="32" spans="1:3" x14ac:dyDescent="0.3">
      <c r="A32" s="3" t="s">
        <v>147</v>
      </c>
      <c r="B32" s="7" t="s">
        <v>148</v>
      </c>
      <c r="C32" s="3" t="s">
        <v>149</v>
      </c>
    </row>
    <row r="33" spans="1:3" x14ac:dyDescent="0.3">
      <c r="A33" s="3" t="s">
        <v>150</v>
      </c>
      <c r="B33" s="7" t="s">
        <v>151</v>
      </c>
      <c r="C33" s="3" t="s">
        <v>152</v>
      </c>
    </row>
    <row r="34" spans="1:3" x14ac:dyDescent="0.3">
      <c r="A34" s="3" t="s">
        <v>153</v>
      </c>
      <c r="B34" s="7" t="s">
        <v>154</v>
      </c>
      <c r="C34" s="3" t="s">
        <v>155</v>
      </c>
    </row>
    <row r="35" spans="1:3" x14ac:dyDescent="0.3">
      <c r="A35" s="3" t="s">
        <v>156</v>
      </c>
      <c r="B35" s="7" t="s">
        <v>157</v>
      </c>
      <c r="C35" s="3" t="s">
        <v>158</v>
      </c>
    </row>
    <row r="36" spans="1:3" x14ac:dyDescent="0.3">
      <c r="A36" s="21" t="s">
        <v>217</v>
      </c>
    </row>
    <row r="37" spans="1:3" x14ac:dyDescent="0.3">
      <c r="A37" s="22" t="s">
        <v>218</v>
      </c>
      <c r="B37" s="4" t="s">
        <v>219</v>
      </c>
      <c r="C37" t="s">
        <v>220</v>
      </c>
    </row>
    <row r="38" spans="1:3" x14ac:dyDescent="0.3">
      <c r="A38" t="s">
        <v>221</v>
      </c>
      <c r="B38" s="4" t="s">
        <v>222</v>
      </c>
      <c r="C38" t="s">
        <v>223</v>
      </c>
    </row>
    <row r="39" spans="1:3" x14ac:dyDescent="0.3">
      <c r="A39" t="s">
        <v>224</v>
      </c>
      <c r="B39" s="4" t="s">
        <v>225</v>
      </c>
      <c r="C39" t="s">
        <v>226</v>
      </c>
    </row>
    <row r="40" spans="1:3" x14ac:dyDescent="0.3">
      <c r="A40" t="s">
        <v>227</v>
      </c>
      <c r="B40" s="4" t="s">
        <v>228</v>
      </c>
      <c r="C40" t="s">
        <v>229</v>
      </c>
    </row>
    <row r="41" spans="1:3" x14ac:dyDescent="0.3">
      <c r="A41" t="s">
        <v>230</v>
      </c>
      <c r="B41" s="4" t="s">
        <v>231</v>
      </c>
      <c r="C41" t="s">
        <v>232</v>
      </c>
    </row>
    <row r="42" spans="1:3" x14ac:dyDescent="0.3">
      <c r="A42" s="21" t="s">
        <v>233</v>
      </c>
      <c r="B42" s="23" t="s">
        <v>215</v>
      </c>
      <c r="C42" s="24" t="s">
        <v>216</v>
      </c>
    </row>
    <row r="43" spans="1:3" x14ac:dyDescent="0.3">
      <c r="A43" s="22" t="s">
        <v>234</v>
      </c>
      <c r="B43" s="4" t="s">
        <v>235</v>
      </c>
      <c r="C43" t="s">
        <v>236</v>
      </c>
    </row>
    <row r="44" spans="1:3" x14ac:dyDescent="0.3">
      <c r="A44" t="s">
        <v>237</v>
      </c>
      <c r="B44" s="4" t="s">
        <v>238</v>
      </c>
      <c r="C44" t="s">
        <v>239</v>
      </c>
    </row>
    <row r="45" spans="1:3" x14ac:dyDescent="0.3">
      <c r="A45" t="s">
        <v>240</v>
      </c>
      <c r="B45" s="4" t="s">
        <v>241</v>
      </c>
      <c r="C45" t="s">
        <v>242</v>
      </c>
    </row>
    <row r="46" spans="1:3" x14ac:dyDescent="0.3">
      <c r="A46" s="25" t="s">
        <v>248</v>
      </c>
      <c r="B46" s="4" t="s">
        <v>243</v>
      </c>
      <c r="C46" t="s">
        <v>244</v>
      </c>
    </row>
    <row r="47" spans="1:3" x14ac:dyDescent="0.3">
      <c r="A47" s="3" t="s">
        <v>245</v>
      </c>
      <c r="B47" s="4" t="s">
        <v>246</v>
      </c>
      <c r="C47" t="s">
        <v>247</v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91D66-E1A7-46A2-859E-9E553E8CC463}">
  <dimension ref="B2:G23"/>
  <sheetViews>
    <sheetView workbookViewId="0">
      <selection activeCell="I31" sqref="I31"/>
    </sheetView>
  </sheetViews>
  <sheetFormatPr defaultRowHeight="14.4" x14ac:dyDescent="0.3"/>
  <cols>
    <col min="2" max="2" width="33.6640625" customWidth="1"/>
    <col min="4" max="4" width="18.88671875" customWidth="1"/>
  </cols>
  <sheetData>
    <row r="2" spans="2:5" x14ac:dyDescent="0.3">
      <c r="B2" t="s">
        <v>249</v>
      </c>
      <c r="C2">
        <v>10</v>
      </c>
      <c r="D2" t="s">
        <v>161</v>
      </c>
    </row>
    <row r="3" spans="2:5" x14ac:dyDescent="0.3">
      <c r="B3" t="s">
        <v>250</v>
      </c>
      <c r="C3">
        <v>24</v>
      </c>
      <c r="D3" t="s">
        <v>164</v>
      </c>
    </row>
    <row r="4" spans="2:5" x14ac:dyDescent="0.3">
      <c r="B4" t="s">
        <v>251</v>
      </c>
      <c r="C4">
        <v>200</v>
      </c>
      <c r="D4" t="s">
        <v>260</v>
      </c>
    </row>
    <row r="5" spans="2:5" x14ac:dyDescent="0.3">
      <c r="C5">
        <f>C4</f>
        <v>200</v>
      </c>
      <c r="D5" t="s">
        <v>262</v>
      </c>
    </row>
    <row r="6" spans="2:5" x14ac:dyDescent="0.3">
      <c r="B6" t="s">
        <v>252</v>
      </c>
      <c r="C6">
        <f>C2*C3*C5</f>
        <v>48000</v>
      </c>
      <c r="D6" t="s">
        <v>265</v>
      </c>
    </row>
    <row r="8" spans="2:5" x14ac:dyDescent="0.3">
      <c r="B8" t="s">
        <v>253</v>
      </c>
      <c r="C8">
        <v>1.2</v>
      </c>
      <c r="D8" t="s">
        <v>184</v>
      </c>
    </row>
    <row r="9" spans="2:5" x14ac:dyDescent="0.3">
      <c r="C9">
        <f>C8*50</f>
        <v>60</v>
      </c>
      <c r="D9" t="s">
        <v>264</v>
      </c>
    </row>
    <row r="10" spans="2:5" x14ac:dyDescent="0.3">
      <c r="B10" t="s">
        <v>254</v>
      </c>
      <c r="C10">
        <f>C6/C9</f>
        <v>800</v>
      </c>
      <c r="D10" t="s">
        <v>263</v>
      </c>
    </row>
    <row r="12" spans="2:5" x14ac:dyDescent="0.3">
      <c r="B12" t="s">
        <v>266</v>
      </c>
      <c r="C12">
        <v>20</v>
      </c>
      <c r="D12" t="s">
        <v>267</v>
      </c>
      <c r="E12" t="s">
        <v>255</v>
      </c>
    </row>
    <row r="13" spans="2:5" x14ac:dyDescent="0.3">
      <c r="B13" t="s">
        <v>268</v>
      </c>
      <c r="C13">
        <f>C2/C12</f>
        <v>0.5</v>
      </c>
      <c r="D13" t="s">
        <v>269</v>
      </c>
    </row>
    <row r="14" spans="2:5" x14ac:dyDescent="0.3">
      <c r="B14" t="s">
        <v>256</v>
      </c>
      <c r="C14">
        <v>800</v>
      </c>
      <c r="D14" t="s">
        <v>189</v>
      </c>
    </row>
    <row r="15" spans="2:5" x14ac:dyDescent="0.3">
      <c r="B15" t="s">
        <v>270</v>
      </c>
      <c r="C15">
        <v>1000</v>
      </c>
      <c r="D15" t="s">
        <v>189</v>
      </c>
    </row>
    <row r="16" spans="2:5" x14ac:dyDescent="0.3">
      <c r="B16" t="s">
        <v>257</v>
      </c>
      <c r="C16" s="26">
        <v>0.5</v>
      </c>
    </row>
    <row r="17" spans="2:7" x14ac:dyDescent="0.3">
      <c r="B17" t="s">
        <v>272</v>
      </c>
      <c r="C17">
        <f>MROUND(SQRT(C13*4/PI())*1000,100)</f>
        <v>800</v>
      </c>
      <c r="D17" t="s">
        <v>189</v>
      </c>
      <c r="F17">
        <v>12</v>
      </c>
      <c r="G17" t="s">
        <v>274</v>
      </c>
    </row>
    <row r="18" spans="2:7" x14ac:dyDescent="0.3">
      <c r="B18" t="s">
        <v>271</v>
      </c>
      <c r="C18">
        <f>4*C10/1000/(PI()*(C17/1000)^2)*1000</f>
        <v>1591.5494309189532</v>
      </c>
      <c r="D18" t="s">
        <v>189</v>
      </c>
      <c r="F18">
        <f>CONVERT(F17,"lbm","g")/1000</f>
        <v>5.4431084399999996</v>
      </c>
      <c r="G18" t="s">
        <v>275</v>
      </c>
    </row>
    <row r="19" spans="2:7" x14ac:dyDescent="0.3">
      <c r="C19">
        <f>C18*(1+C16)</f>
        <v>2387.3241463784298</v>
      </c>
      <c r="F19">
        <f>F18/CONVERT(1,"ft^3","m^3")</f>
        <v>192.22156048752166</v>
      </c>
      <c r="G19" t="s">
        <v>276</v>
      </c>
    </row>
    <row r="22" spans="2:7" x14ac:dyDescent="0.3">
      <c r="B22" t="s">
        <v>258</v>
      </c>
      <c r="C22">
        <f>C10*C23/1000</f>
        <v>120</v>
      </c>
      <c r="D22" t="s">
        <v>273</v>
      </c>
    </row>
    <row r="23" spans="2:7" x14ac:dyDescent="0.3">
      <c r="B23" t="s">
        <v>259</v>
      </c>
      <c r="C23">
        <v>150</v>
      </c>
      <c r="D23" t="s">
        <v>261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Softener Design</vt:lpstr>
      <vt:lpstr>Resin Database</vt:lpstr>
      <vt:lpstr>Vessel Sizing</vt:lpstr>
      <vt:lpstr>Calculation Reference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Rifka Aisyah</dc:creator>
  <cp:lastModifiedBy>Rifka Aisyah</cp:lastModifiedBy>
  <dcterms:created xsi:type="dcterms:W3CDTF">2026-08-28T08:05:21Z</dcterms:created>
  <dcterms:modified xsi:type="dcterms:W3CDTF">2026-09-21T19:38:20Z</dcterms:modified>
</cp:coreProperties>
</file>