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issrifka\2026\26.01.01\"/>
    </mc:Choice>
  </mc:AlternateContent>
  <xr:revisionPtr revIDLastSave="0" documentId="13_ncr:1_{DACD2145-EDBE-4097-B663-C83A150128A6}" xr6:coauthVersionLast="47" xr6:coauthVersionMax="47" xr10:uidLastSave="{00000000-0000-0000-0000-000000000000}"/>
  <bookViews>
    <workbookView xWindow="-108" yWindow="-108" windowWidth="23256" windowHeight="12456" xr2:uid="{FD91276C-0110-43AB-8541-431BF65538B9}"/>
  </bookViews>
  <sheets>
    <sheet name="Summary" sheetId="5" r:id="rId1"/>
    <sheet name="Examp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C31" i="5"/>
  <c r="C32" i="5"/>
  <c r="C33" i="5"/>
  <c r="C34" i="5"/>
  <c r="C30" i="5"/>
  <c r="C35" i="5" s="1"/>
  <c r="C26" i="5"/>
  <c r="C24" i="5"/>
  <c r="C18" i="5"/>
  <c r="C19" i="5"/>
  <c r="C20" i="5"/>
  <c r="C21" i="5"/>
  <c r="C22" i="5"/>
  <c r="C17" i="5"/>
  <c r="C12" i="5"/>
  <c r="C13" i="5"/>
  <c r="C11" i="5"/>
  <c r="C10" i="5"/>
  <c r="C9" i="5"/>
  <c r="C8" i="5"/>
  <c r="C7" i="5"/>
  <c r="C6" i="5"/>
  <c r="C5" i="5"/>
  <c r="C4" i="5"/>
  <c r="C14" i="5" s="1"/>
  <c r="C27" i="5" s="1"/>
  <c r="E79" i="1"/>
  <c r="E65" i="1"/>
  <c r="E38" i="1"/>
  <c r="E29" i="1"/>
  <c r="E30" i="1" s="1"/>
  <c r="E33" i="1"/>
  <c r="E34" i="1" s="1"/>
  <c r="F12" i="1"/>
  <c r="F13" i="1"/>
  <c r="F14" i="1"/>
  <c r="F15" i="1"/>
  <c r="F16" i="1"/>
  <c r="F17" i="1"/>
  <c r="F11" i="1"/>
  <c r="E7" i="1"/>
  <c r="C37" i="5" l="1"/>
  <c r="C39" i="5" s="1"/>
  <c r="E25" i="1"/>
  <c r="E44" i="1" s="1"/>
  <c r="E47" i="1" s="1"/>
  <c r="F18" i="1"/>
  <c r="E50" i="1" l="1"/>
  <c r="E48" i="1"/>
  <c r="E49" i="1"/>
  <c r="E51" i="1" l="1"/>
  <c r="E72" i="1" s="1"/>
  <c r="E71" i="1" l="1"/>
  <c r="E68" i="1"/>
  <c r="E70" i="1"/>
  <c r="E54" i="1"/>
  <c r="E58" i="1"/>
  <c r="E59" i="1"/>
  <c r="E57" i="1"/>
  <c r="E69" i="1"/>
  <c r="E73" i="1" s="1"/>
  <c r="E55" i="1"/>
  <c r="E56" i="1"/>
  <c r="E60" i="1" l="1"/>
</calcChain>
</file>

<file path=xl/sharedStrings.xml><?xml version="1.0" encoding="utf-8"?>
<sst xmlns="http://schemas.openxmlformats.org/spreadsheetml/2006/main" count="178" uniqueCount="98">
  <si>
    <t>Support type</t>
  </si>
  <si>
    <t>Flare stack height</t>
  </si>
  <si>
    <t>ft</t>
  </si>
  <si>
    <t>Flare tip diameter</t>
  </si>
  <si>
    <t>Self-supported</t>
  </si>
  <si>
    <t>Guy-supported</t>
  </si>
  <si>
    <t>Derrick-supported</t>
  </si>
  <si>
    <t>in</t>
  </si>
  <si>
    <t>(1-60 in)</t>
  </si>
  <si>
    <t>(30-500 ft)</t>
  </si>
  <si>
    <t>Flare cost</t>
  </si>
  <si>
    <t>USD</t>
  </si>
  <si>
    <t>(2017 $)</t>
  </si>
  <si>
    <t>Monitoring System Type</t>
  </si>
  <si>
    <t>Equipment Cost (2017$)</t>
  </si>
  <si>
    <t>Pilot flame monitor (note 1)</t>
  </si>
  <si>
    <t>Gas chromatograph (GC)</t>
  </si>
  <si>
    <t>H2 analyzer</t>
  </si>
  <si>
    <t>Calorimeter</t>
  </si>
  <si>
    <t>Flare gas flow monitor</t>
  </si>
  <si>
    <t>Steam fine controls/metering</t>
  </si>
  <si>
    <t>Air fine controls/metering</t>
  </si>
  <si>
    <t>Qty</t>
  </si>
  <si>
    <t>Total Cost (2017$)</t>
  </si>
  <si>
    <t>Total Cost</t>
  </si>
  <si>
    <t>1. The pilot system monitoring costs are calculated based on thermocouples monitoring three pilot flares. For each additional pilot flame to be monitored beyond three, an extra charge of $500 will apply per pilot flame.</t>
  </si>
  <si>
    <r>
      <t>FLARE COST (C</t>
    </r>
    <r>
      <rPr>
        <b/>
        <vertAlign val="subscript"/>
        <sz val="14"/>
        <color theme="0"/>
        <rFont val="Aptos Narrow"/>
        <family val="2"/>
        <scheme val="minor"/>
      </rPr>
      <t>F</t>
    </r>
    <r>
      <rPr>
        <b/>
        <sz val="14"/>
        <color theme="0"/>
        <rFont val="Aptos Narrow"/>
        <family val="2"/>
        <scheme val="minor"/>
      </rPr>
      <t>)</t>
    </r>
  </si>
  <si>
    <r>
      <t>MONITORING SYSTEM COST (C</t>
    </r>
    <r>
      <rPr>
        <b/>
        <vertAlign val="subscript"/>
        <sz val="14"/>
        <color theme="0"/>
        <rFont val="Aptos Narrow"/>
        <family val="2"/>
        <scheme val="minor"/>
      </rPr>
      <t>M</t>
    </r>
    <r>
      <rPr>
        <b/>
        <sz val="14"/>
        <color theme="0"/>
        <rFont val="Aptos Narrow"/>
        <family val="2"/>
        <scheme val="minor"/>
      </rPr>
      <t>)</t>
    </r>
  </si>
  <si>
    <r>
      <t>KNOCK-OUT DRUM COST (C</t>
    </r>
    <r>
      <rPr>
        <b/>
        <vertAlign val="subscript"/>
        <sz val="14"/>
        <color theme="0"/>
        <rFont val="Aptos Narrow"/>
        <family val="2"/>
        <scheme val="minor"/>
      </rPr>
      <t>K</t>
    </r>
    <r>
      <rPr>
        <b/>
        <sz val="14"/>
        <color theme="0"/>
        <rFont val="Aptos Narrow"/>
        <family val="2"/>
        <scheme val="minor"/>
      </rPr>
      <t>)</t>
    </r>
  </si>
  <si>
    <t>Drum diameter</t>
  </si>
  <si>
    <t>Vessel thickness</t>
  </si>
  <si>
    <t>Vessel height</t>
  </si>
  <si>
    <t xml:space="preserve">Knock-out drum cost </t>
  </si>
  <si>
    <r>
      <t>PIPING COST (C</t>
    </r>
    <r>
      <rPr>
        <b/>
        <vertAlign val="subscript"/>
        <sz val="14"/>
        <color theme="0"/>
        <rFont val="Aptos Narrow"/>
        <family val="2"/>
        <scheme val="minor"/>
      </rPr>
      <t>P</t>
    </r>
    <r>
      <rPr>
        <b/>
        <sz val="14"/>
        <color theme="0"/>
        <rFont val="Aptos Narrow"/>
        <family val="2"/>
        <scheme val="minor"/>
      </rPr>
      <t>)</t>
    </r>
  </si>
  <si>
    <t>Length of pipe run</t>
  </si>
  <si>
    <t>100 ft minimum</t>
  </si>
  <si>
    <t>Diameter of pipe/flare tip</t>
  </si>
  <si>
    <t>Piping cost</t>
  </si>
  <si>
    <r>
      <t>SEAL COST (C</t>
    </r>
    <r>
      <rPr>
        <b/>
        <vertAlign val="subscript"/>
        <sz val="14"/>
        <color theme="0"/>
        <rFont val="Aptos Narrow"/>
        <family val="2"/>
        <scheme val="minor"/>
      </rPr>
      <t>S</t>
    </r>
    <r>
      <rPr>
        <b/>
        <sz val="14"/>
        <color theme="0"/>
        <rFont val="Aptos Narrow"/>
        <family val="2"/>
        <scheme val="minor"/>
      </rPr>
      <t>)</t>
    </r>
  </si>
  <si>
    <t>Seal cost</t>
  </si>
  <si>
    <r>
      <t>FLARE GAS RECOVERY COST (C</t>
    </r>
    <r>
      <rPr>
        <b/>
        <vertAlign val="subscript"/>
        <sz val="14"/>
        <color theme="0"/>
        <rFont val="Aptos Narrow"/>
        <family val="2"/>
        <scheme val="minor"/>
      </rPr>
      <t>FGR</t>
    </r>
    <r>
      <rPr>
        <b/>
        <sz val="14"/>
        <color theme="0"/>
        <rFont val="Aptos Narrow"/>
        <family val="2"/>
        <scheme val="minor"/>
      </rPr>
      <t>)</t>
    </r>
  </si>
  <si>
    <t>Design capacity</t>
  </si>
  <si>
    <t>scfm</t>
  </si>
  <si>
    <t>Flare gas recovery cost</t>
  </si>
  <si>
    <r>
      <t>UTILITY COST (C</t>
    </r>
    <r>
      <rPr>
        <b/>
        <vertAlign val="subscript"/>
        <sz val="14"/>
        <color theme="0"/>
        <rFont val="Aptos Narrow"/>
        <family val="2"/>
        <scheme val="minor"/>
      </rPr>
      <t>U</t>
    </r>
    <r>
      <rPr>
        <b/>
        <sz val="14"/>
        <color theme="0"/>
        <rFont val="Aptos Narrow"/>
        <family val="2"/>
        <scheme val="minor"/>
      </rPr>
      <t>), calculated case-by-case</t>
    </r>
  </si>
  <si>
    <t>Utility cost</t>
  </si>
  <si>
    <t>EQUIPMENT COST (EC)</t>
  </si>
  <si>
    <t>Equipment cost</t>
  </si>
  <si>
    <t>PURCHASE EQUIPMENT COST (PEC)</t>
  </si>
  <si>
    <t>Ancillary equipment</t>
  </si>
  <si>
    <t>Sales taxes</t>
  </si>
  <si>
    <t>Freight</t>
  </si>
  <si>
    <t>Purchase Equipment cost</t>
  </si>
  <si>
    <t>DIRECT INSTALLATION COST</t>
  </si>
  <si>
    <t>Foundations and supports</t>
  </si>
  <si>
    <t>Handling and errection</t>
  </si>
  <si>
    <t>Electrical</t>
  </si>
  <si>
    <t>Piping</t>
  </si>
  <si>
    <t>Insulation</t>
  </si>
  <si>
    <t>Painting</t>
  </si>
  <si>
    <t>Direct installation cost</t>
  </si>
  <si>
    <t>Site preparation</t>
  </si>
  <si>
    <t>Buildings</t>
  </si>
  <si>
    <t>As required, buildings</t>
  </si>
  <si>
    <t>As required, site preparation</t>
  </si>
  <si>
    <t>Total Direct Cost</t>
  </si>
  <si>
    <t>INDIRECT INSTALLATION COST</t>
  </si>
  <si>
    <t>Engineering</t>
  </si>
  <si>
    <t>Construction and field expenses</t>
  </si>
  <si>
    <t>Contractor fees</t>
  </si>
  <si>
    <t>Start-up</t>
  </si>
  <si>
    <t>Performance test</t>
  </si>
  <si>
    <t>Total indirect cost</t>
  </si>
  <si>
    <t>CONTINGENCIES</t>
  </si>
  <si>
    <t>Contingencies</t>
  </si>
  <si>
    <t>TOTAL CAPITAL INVESTMENT</t>
  </si>
  <si>
    <t>Total Capital Investment</t>
  </si>
  <si>
    <t>Direct Cost</t>
  </si>
  <si>
    <t>Purchased Equipment Cost</t>
  </si>
  <si>
    <t>Direct Installations Costs</t>
  </si>
  <si>
    <t>Handling and Erection</t>
  </si>
  <si>
    <t>SP as required</t>
  </si>
  <si>
    <t>Building, as required</t>
  </si>
  <si>
    <t>Indirect Installation Cost</t>
  </si>
  <si>
    <t>Construction and Field Expenses</t>
  </si>
  <si>
    <t>Contractor Fees</t>
  </si>
  <si>
    <t>Performance Test</t>
  </si>
  <si>
    <t>Total Indirect Cost</t>
  </si>
  <si>
    <t>Contingency</t>
  </si>
  <si>
    <t>Flare Cost</t>
  </si>
  <si>
    <t>Monitoring System Cost</t>
  </si>
  <si>
    <t>Knock-Out Drum Cost</t>
  </si>
  <si>
    <t>Piping Cost</t>
  </si>
  <si>
    <t>Seal Cost</t>
  </si>
  <si>
    <t>Flare Gas Recovery Cost</t>
  </si>
  <si>
    <t>Utility Cost</t>
  </si>
  <si>
    <t>Cost Item</t>
  </si>
  <si>
    <t>Cost (USD, 2017 basis)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</si>
</sst>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ptos"/>
      <family val="2"/>
    </font>
    <font>
      <b/>
      <sz val="10"/>
      <color rgb="FF000000"/>
      <name val="Aptos"/>
      <family val="2"/>
    </font>
    <font>
      <b/>
      <sz val="10"/>
      <color theme="1"/>
      <name val="Aptos Narrow"/>
      <family val="2"/>
      <scheme val="minor"/>
    </font>
    <font>
      <b/>
      <sz val="10"/>
      <color theme="1"/>
      <name val="Aptos"/>
      <family val="2"/>
    </font>
    <font>
      <b/>
      <u/>
      <sz val="10"/>
      <color theme="1"/>
      <name val="Aptos Narrow"/>
      <family val="2"/>
      <scheme val="minor"/>
    </font>
    <font>
      <b/>
      <vertAlign val="subscript"/>
      <sz val="14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2" fillId="4" borderId="0" xfId="0" applyFont="1" applyFill="1"/>
    <xf numFmtId="0" fontId="4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2" fillId="6" borderId="0" xfId="0" applyFont="1" applyFill="1"/>
    <xf numFmtId="0" fontId="0" fillId="0" borderId="1" xfId="0" applyBorder="1" applyAlignment="1">
      <alignment vertical="top"/>
    </xf>
    <xf numFmtId="3" fontId="0" fillId="3" borderId="1" xfId="0" applyNumberForma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0" fillId="0" borderId="3" xfId="0" applyBorder="1" applyAlignment="1">
      <alignment vertical="top"/>
    </xf>
    <xf numFmtId="0" fontId="0" fillId="2" borderId="1" xfId="0" applyFill="1" applyBorder="1" applyAlignment="1">
      <alignment vertical="top"/>
    </xf>
    <xf numFmtId="3" fontId="4" fillId="0" borderId="1" xfId="0" applyNumberFormat="1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3" fillId="3" borderId="1" xfId="0" applyNumberFormat="1" applyFont="1" applyFill="1" applyBorder="1" applyAlignment="1">
      <alignment horizontal="center" vertical="top"/>
    </xf>
    <xf numFmtId="3" fontId="8" fillId="3" borderId="1" xfId="0" applyNumberFormat="1" applyFont="1" applyFill="1" applyBorder="1" applyAlignment="1">
      <alignment horizontal="center" vertical="top"/>
    </xf>
    <xf numFmtId="2" fontId="0" fillId="2" borderId="1" xfId="0" applyNumberFormat="1" applyFill="1" applyBorder="1" applyAlignment="1">
      <alignment vertical="top"/>
    </xf>
    <xf numFmtId="1" fontId="0" fillId="2" borderId="1" xfId="0" applyNumberFormat="1" applyFill="1" applyBorder="1" applyAlignment="1">
      <alignment vertical="top"/>
    </xf>
    <xf numFmtId="0" fontId="10" fillId="6" borderId="0" xfId="0" applyFont="1" applyFill="1" applyAlignment="1">
      <alignment vertical="top"/>
    </xf>
    <xf numFmtId="0" fontId="0" fillId="0" borderId="0" xfId="0" applyAlignment="1">
      <alignment vertical="top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top"/>
    </xf>
    <xf numFmtId="3" fontId="11" fillId="3" borderId="1" xfId="0" applyNumberFormat="1" applyFont="1" applyFill="1" applyBorder="1" applyAlignment="1">
      <alignment vertical="top"/>
    </xf>
    <xf numFmtId="0" fontId="11" fillId="0" borderId="1" xfId="0" applyFont="1" applyBorder="1" applyAlignment="1">
      <alignment horizontal="left" wrapText="1" indent="2"/>
    </xf>
    <xf numFmtId="3" fontId="0" fillId="0" borderId="1" xfId="0" applyNumberFormat="1" applyBorder="1" applyAlignment="1">
      <alignment vertical="top"/>
    </xf>
    <xf numFmtId="0" fontId="0" fillId="0" borderId="4" xfId="0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1" xfId="0" applyFont="1" applyBorder="1"/>
    <xf numFmtId="0" fontId="0" fillId="0" borderId="1" xfId="0" applyBorder="1" applyAlignment="1">
      <alignment horizontal="left" indent="2"/>
    </xf>
    <xf numFmtId="3" fontId="0" fillId="0" borderId="1" xfId="0" applyNumberFormat="1" applyBorder="1"/>
    <xf numFmtId="0" fontId="0" fillId="0" borderId="1" xfId="0" applyBorder="1" applyAlignment="1">
      <alignment horizontal="left" indent="5"/>
    </xf>
    <xf numFmtId="0" fontId="11" fillId="7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left" indent="2"/>
    </xf>
    <xf numFmtId="3" fontId="11" fillId="8" borderId="1" xfId="0" applyNumberFormat="1" applyFont="1" applyFill="1" applyBorder="1"/>
    <xf numFmtId="0" fontId="11" fillId="8" borderId="1" xfId="0" applyFont="1" applyFill="1" applyBorder="1"/>
    <xf numFmtId="0" fontId="0" fillId="8" borderId="1" xfId="0" applyFont="1" applyFill="1" applyBorder="1"/>
    <xf numFmtId="3" fontId="0" fillId="8" borderId="1" xfId="0" applyNumberFormat="1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4CBA5-2884-4ED4-A45E-92ACBC3EF386}">
  <dimension ref="B2:C39"/>
  <sheetViews>
    <sheetView tabSelected="1" topLeftCell="A28" workbookViewId="0">
      <selection activeCell="E34" sqref="E34"/>
    </sheetView>
  </sheetViews>
  <sheetFormatPr defaultRowHeight="14.4" x14ac:dyDescent="0.3"/>
  <cols>
    <col min="2" max="2" width="52.5546875" customWidth="1"/>
    <col min="3" max="3" width="29" customWidth="1"/>
  </cols>
  <sheetData>
    <row r="2" spans="2:3" x14ac:dyDescent="0.3">
      <c r="B2" s="35" t="s">
        <v>96</v>
      </c>
      <c r="C2" s="35" t="s">
        <v>97</v>
      </c>
    </row>
    <row r="3" spans="2:3" x14ac:dyDescent="0.3">
      <c r="B3" s="31" t="s">
        <v>77</v>
      </c>
      <c r="C3" s="1"/>
    </row>
    <row r="4" spans="2:3" x14ac:dyDescent="0.3">
      <c r="B4" s="32" t="s">
        <v>89</v>
      </c>
      <c r="C4" s="33">
        <f>Example!E7</f>
        <v>66600</v>
      </c>
    </row>
    <row r="5" spans="2:3" x14ac:dyDescent="0.3">
      <c r="B5" s="32" t="s">
        <v>90</v>
      </c>
      <c r="C5" s="33">
        <f>Example!F18</f>
        <v>198100</v>
      </c>
    </row>
    <row r="6" spans="2:3" x14ac:dyDescent="0.3">
      <c r="B6" s="32" t="s">
        <v>91</v>
      </c>
      <c r="C6" s="33">
        <f>Example!E25</f>
        <v>6500</v>
      </c>
    </row>
    <row r="7" spans="2:3" x14ac:dyDescent="0.3">
      <c r="B7" s="32" t="s">
        <v>92</v>
      </c>
      <c r="C7" s="33">
        <f>Example!E30</f>
        <v>4531.2703010921168</v>
      </c>
    </row>
    <row r="8" spans="2:3" x14ac:dyDescent="0.3">
      <c r="B8" s="32" t="s">
        <v>93</v>
      </c>
      <c r="C8" s="33">
        <f>Example!E34</f>
        <v>6097.6</v>
      </c>
    </row>
    <row r="9" spans="2:3" x14ac:dyDescent="0.3">
      <c r="B9" s="32" t="s">
        <v>94</v>
      </c>
      <c r="C9" s="33">
        <f>Example!E38</f>
        <v>0</v>
      </c>
    </row>
    <row r="10" spans="2:3" x14ac:dyDescent="0.3">
      <c r="B10" s="32" t="s">
        <v>95</v>
      </c>
      <c r="C10" s="1">
        <f>Example!E41</f>
        <v>0</v>
      </c>
    </row>
    <row r="11" spans="2:3" x14ac:dyDescent="0.3">
      <c r="B11" s="32" t="s">
        <v>49</v>
      </c>
      <c r="C11" s="33">
        <f>Example!E48</f>
        <v>28182.88703010921</v>
      </c>
    </row>
    <row r="12" spans="2:3" x14ac:dyDescent="0.3">
      <c r="B12" s="32" t="s">
        <v>50</v>
      </c>
      <c r="C12" s="33">
        <f>Example!E49</f>
        <v>8454.8661090327623</v>
      </c>
    </row>
    <row r="13" spans="2:3" x14ac:dyDescent="0.3">
      <c r="B13" s="32" t="s">
        <v>51</v>
      </c>
      <c r="C13" s="33">
        <f>Example!E50</f>
        <v>14091.443515054605</v>
      </c>
    </row>
    <row r="14" spans="2:3" x14ac:dyDescent="0.3">
      <c r="B14" s="36" t="s">
        <v>78</v>
      </c>
      <c r="C14" s="37">
        <f>SUM(C4:C13)</f>
        <v>332558.0669552887</v>
      </c>
    </row>
    <row r="15" spans="2:3" x14ac:dyDescent="0.3">
      <c r="B15" s="1"/>
      <c r="C15" s="1"/>
    </row>
    <row r="16" spans="2:3" x14ac:dyDescent="0.3">
      <c r="B16" s="31" t="s">
        <v>79</v>
      </c>
      <c r="C16" s="1"/>
    </row>
    <row r="17" spans="2:3" x14ac:dyDescent="0.3">
      <c r="B17" s="32" t="s">
        <v>54</v>
      </c>
      <c r="C17" s="33">
        <f>Example!E54</f>
        <v>39906.968034634643</v>
      </c>
    </row>
    <row r="18" spans="2:3" x14ac:dyDescent="0.3">
      <c r="B18" s="32" t="s">
        <v>80</v>
      </c>
      <c r="C18" s="33">
        <f>Example!E55</f>
        <v>133023.2267821155</v>
      </c>
    </row>
    <row r="19" spans="2:3" x14ac:dyDescent="0.3">
      <c r="B19" s="32" t="s">
        <v>56</v>
      </c>
      <c r="C19" s="33">
        <f>Example!E56</f>
        <v>3325.5806695528872</v>
      </c>
    </row>
    <row r="20" spans="2:3" x14ac:dyDescent="0.3">
      <c r="B20" s="32" t="s">
        <v>57</v>
      </c>
      <c r="C20" s="33">
        <f>Example!E57</f>
        <v>6651.1613391057745</v>
      </c>
    </row>
    <row r="21" spans="2:3" x14ac:dyDescent="0.3">
      <c r="B21" s="32" t="s">
        <v>58</v>
      </c>
      <c r="C21" s="33">
        <f>Example!E58</f>
        <v>3325.5806695528872</v>
      </c>
    </row>
    <row r="22" spans="2:3" x14ac:dyDescent="0.3">
      <c r="B22" s="32" t="s">
        <v>59</v>
      </c>
      <c r="C22" s="33">
        <f>Example!E59</f>
        <v>3325.5806695528872</v>
      </c>
    </row>
    <row r="23" spans="2:3" x14ac:dyDescent="0.3">
      <c r="B23" s="32" t="s">
        <v>61</v>
      </c>
      <c r="C23" s="1"/>
    </row>
    <row r="24" spans="2:3" x14ac:dyDescent="0.3">
      <c r="B24" s="34" t="s">
        <v>81</v>
      </c>
      <c r="C24" s="33">
        <f>Example!E62</f>
        <v>0</v>
      </c>
    </row>
    <row r="25" spans="2:3" x14ac:dyDescent="0.3">
      <c r="B25" s="32" t="s">
        <v>62</v>
      </c>
      <c r="C25" s="1"/>
    </row>
    <row r="26" spans="2:3" x14ac:dyDescent="0.3">
      <c r="B26" s="34" t="s">
        <v>82</v>
      </c>
      <c r="C26" s="33">
        <f>Example!E64</f>
        <v>0</v>
      </c>
    </row>
    <row r="27" spans="2:3" x14ac:dyDescent="0.3">
      <c r="B27" s="38" t="s">
        <v>65</v>
      </c>
      <c r="C27" s="37">
        <f>SUM(C14:C26)</f>
        <v>522116.16511980334</v>
      </c>
    </row>
    <row r="28" spans="2:3" x14ac:dyDescent="0.3">
      <c r="B28" s="1"/>
      <c r="C28" s="1"/>
    </row>
    <row r="29" spans="2:3" x14ac:dyDescent="0.3">
      <c r="B29" s="31" t="s">
        <v>83</v>
      </c>
      <c r="C29" s="1"/>
    </row>
    <row r="30" spans="2:3" x14ac:dyDescent="0.3">
      <c r="B30" s="32" t="s">
        <v>67</v>
      </c>
      <c r="C30" s="33">
        <f>Example!E68</f>
        <v>33255.806695528874</v>
      </c>
    </row>
    <row r="31" spans="2:3" x14ac:dyDescent="0.3">
      <c r="B31" s="32" t="s">
        <v>84</v>
      </c>
      <c r="C31" s="33">
        <f>Example!E69</f>
        <v>33255.806695528874</v>
      </c>
    </row>
    <row r="32" spans="2:3" x14ac:dyDescent="0.3">
      <c r="B32" s="32" t="s">
        <v>85</v>
      </c>
      <c r="C32" s="33">
        <f>Example!E70</f>
        <v>33255.806695528874</v>
      </c>
    </row>
    <row r="33" spans="2:3" x14ac:dyDescent="0.3">
      <c r="B33" s="32" t="s">
        <v>70</v>
      </c>
      <c r="C33" s="33">
        <f>Example!E71</f>
        <v>3325.5806695528872</v>
      </c>
    </row>
    <row r="34" spans="2:3" x14ac:dyDescent="0.3">
      <c r="B34" s="32" t="s">
        <v>86</v>
      </c>
      <c r="C34" s="33">
        <f>Example!E72</f>
        <v>3325.5806695528872</v>
      </c>
    </row>
    <row r="35" spans="2:3" x14ac:dyDescent="0.3">
      <c r="B35" s="36" t="s">
        <v>87</v>
      </c>
      <c r="C35" s="37">
        <f>SUM(C30:C34)</f>
        <v>106418.58142569239</v>
      </c>
    </row>
    <row r="36" spans="2:3" x14ac:dyDescent="0.3">
      <c r="B36" s="1"/>
      <c r="C36" s="1"/>
    </row>
    <row r="37" spans="2:3" x14ac:dyDescent="0.3">
      <c r="B37" s="39" t="s">
        <v>88</v>
      </c>
      <c r="C37" s="40">
        <f>10%*(C35+C27)</f>
        <v>62853.474654549573</v>
      </c>
    </row>
    <row r="38" spans="2:3" x14ac:dyDescent="0.3">
      <c r="B38" s="1"/>
      <c r="C38" s="1"/>
    </row>
    <row r="39" spans="2:3" x14ac:dyDescent="0.3">
      <c r="B39" s="38" t="s">
        <v>76</v>
      </c>
      <c r="C39" s="37">
        <f>C27+C35+C37</f>
        <v>691388.22120004531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CB071-CF07-4B1E-B7AB-9A35C7879384}">
  <dimension ref="C3:M79"/>
  <sheetViews>
    <sheetView topLeftCell="A19" workbookViewId="0">
      <selection activeCell="L11" sqref="L11"/>
    </sheetView>
  </sheetViews>
  <sheetFormatPr defaultRowHeight="14.4" x14ac:dyDescent="0.3"/>
  <cols>
    <col min="3" max="3" width="17.5546875" customWidth="1"/>
    <col min="4" max="4" width="13.6640625" style="21" customWidth="1"/>
    <col min="5" max="5" width="12.77734375" style="21" customWidth="1"/>
    <col min="6" max="6" width="14.21875" style="21" customWidth="1"/>
  </cols>
  <sheetData>
    <row r="3" spans="3:13" ht="20.399999999999999" x14ac:dyDescent="0.45">
      <c r="C3" s="3" t="s">
        <v>26</v>
      </c>
      <c r="D3" s="11"/>
      <c r="E3" s="11"/>
      <c r="F3" s="11"/>
      <c r="M3" s="41" t="s">
        <v>4</v>
      </c>
    </row>
    <row r="4" spans="3:13" x14ac:dyDescent="0.3">
      <c r="C4" s="2" t="s">
        <v>0</v>
      </c>
      <c r="D4" s="12"/>
      <c r="E4" s="13" t="s">
        <v>5</v>
      </c>
      <c r="F4" s="9"/>
      <c r="M4" s="41" t="s">
        <v>5</v>
      </c>
    </row>
    <row r="5" spans="3:13" x14ac:dyDescent="0.3">
      <c r="C5" s="1" t="s">
        <v>1</v>
      </c>
      <c r="D5" s="9" t="s">
        <v>2</v>
      </c>
      <c r="E5" s="13">
        <v>90</v>
      </c>
      <c r="F5" s="9" t="s">
        <v>9</v>
      </c>
      <c r="M5" s="41" t="s">
        <v>6</v>
      </c>
    </row>
    <row r="6" spans="3:13" x14ac:dyDescent="0.3">
      <c r="C6" s="1" t="s">
        <v>3</v>
      </c>
      <c r="D6" s="9" t="s">
        <v>7</v>
      </c>
      <c r="E6" s="13">
        <v>8</v>
      </c>
      <c r="F6" s="9" t="s">
        <v>8</v>
      </c>
      <c r="M6" s="41"/>
    </row>
    <row r="7" spans="3:13" x14ac:dyDescent="0.3">
      <c r="C7" s="1" t="s">
        <v>10</v>
      </c>
      <c r="D7" s="9" t="s">
        <v>11</v>
      </c>
      <c r="E7" s="10">
        <f>ROUNDDOWN(IF(E4="Self-supported",(93.6+10.97*E6+0.899*E5)^2,IF(E4="Guy-supported",(124+10.42*E6+0.564*E5)^2,IF(E4="Derrick-supported",(91.7+3.26*E6+1.968*E5)^2,""))),-2)</f>
        <v>66600</v>
      </c>
      <c r="F7" s="9" t="s">
        <v>12</v>
      </c>
    </row>
    <row r="9" spans="3:13" ht="20.399999999999999" x14ac:dyDescent="0.45">
      <c r="C9" s="3" t="s">
        <v>27</v>
      </c>
      <c r="D9" s="11"/>
      <c r="E9" s="11"/>
      <c r="F9" s="11"/>
    </row>
    <row r="10" spans="3:13" ht="27.6" x14ac:dyDescent="0.3">
      <c r="C10" s="5" t="s">
        <v>13</v>
      </c>
      <c r="D10" s="5" t="s">
        <v>14</v>
      </c>
      <c r="E10" s="6" t="s">
        <v>22</v>
      </c>
      <c r="F10" s="6" t="s">
        <v>23</v>
      </c>
    </row>
    <row r="11" spans="3:13" ht="27.6" x14ac:dyDescent="0.3">
      <c r="C11" s="4" t="s">
        <v>15</v>
      </c>
      <c r="D11" s="14">
        <v>4100</v>
      </c>
      <c r="E11" s="15">
        <v>1</v>
      </c>
      <c r="F11" s="16">
        <f>D11*E11</f>
        <v>4100</v>
      </c>
    </row>
    <row r="12" spans="3:13" ht="27.6" x14ac:dyDescent="0.3">
      <c r="C12" s="4" t="s">
        <v>16</v>
      </c>
      <c r="D12" s="14">
        <v>131000</v>
      </c>
      <c r="E12" s="15">
        <v>0</v>
      </c>
      <c r="F12" s="16">
        <f t="shared" ref="F12:F17" si="0">D12*E12</f>
        <v>0</v>
      </c>
    </row>
    <row r="13" spans="3:13" x14ac:dyDescent="0.3">
      <c r="C13" s="4" t="s">
        <v>17</v>
      </c>
      <c r="D13" s="14">
        <v>36900</v>
      </c>
      <c r="E13" s="15">
        <v>0</v>
      </c>
      <c r="F13" s="16">
        <f t="shared" si="0"/>
        <v>0</v>
      </c>
    </row>
    <row r="14" spans="3:13" x14ac:dyDescent="0.3">
      <c r="C14" s="4" t="s">
        <v>18</v>
      </c>
      <c r="D14" s="14">
        <v>77300</v>
      </c>
      <c r="E14" s="15">
        <v>1</v>
      </c>
      <c r="F14" s="16">
        <f t="shared" si="0"/>
        <v>77300</v>
      </c>
    </row>
    <row r="15" spans="3:13" ht="27.6" x14ac:dyDescent="0.3">
      <c r="C15" s="4" t="s">
        <v>19</v>
      </c>
      <c r="D15" s="14">
        <v>58000</v>
      </c>
      <c r="E15" s="15">
        <v>1</v>
      </c>
      <c r="F15" s="16">
        <f t="shared" si="0"/>
        <v>58000</v>
      </c>
    </row>
    <row r="16" spans="3:13" ht="27.6" x14ac:dyDescent="0.3">
      <c r="C16" s="4" t="s">
        <v>20</v>
      </c>
      <c r="D16" s="14">
        <v>58700</v>
      </c>
      <c r="E16" s="15">
        <v>1</v>
      </c>
      <c r="F16" s="16">
        <f t="shared" si="0"/>
        <v>58700</v>
      </c>
    </row>
    <row r="17" spans="3:6" ht="27.6" x14ac:dyDescent="0.3">
      <c r="C17" s="4" t="s">
        <v>21</v>
      </c>
      <c r="D17" s="14">
        <v>49600</v>
      </c>
      <c r="E17" s="15">
        <v>0</v>
      </c>
      <c r="F17" s="16">
        <f t="shared" si="0"/>
        <v>0</v>
      </c>
    </row>
    <row r="18" spans="3:6" x14ac:dyDescent="0.3">
      <c r="C18" s="28" t="s">
        <v>24</v>
      </c>
      <c r="D18" s="29"/>
      <c r="E18" s="30"/>
      <c r="F18" s="17">
        <f>SUM(F11:F17)</f>
        <v>198100</v>
      </c>
    </row>
    <row r="19" spans="3:6" ht="61.2" customHeight="1" x14ac:dyDescent="0.3">
      <c r="C19" s="27" t="s">
        <v>25</v>
      </c>
      <c r="D19" s="27"/>
      <c r="E19" s="27"/>
      <c r="F19" s="27"/>
    </row>
    <row r="21" spans="3:6" ht="20.399999999999999" x14ac:dyDescent="0.45">
      <c r="C21" s="3" t="s">
        <v>28</v>
      </c>
      <c r="D21" s="11"/>
      <c r="E21" s="11"/>
      <c r="F21" s="11"/>
    </row>
    <row r="22" spans="3:6" x14ac:dyDescent="0.3">
      <c r="C22" s="1" t="s">
        <v>29</v>
      </c>
      <c r="D22" s="9" t="s">
        <v>7</v>
      </c>
      <c r="E22" s="13">
        <v>42</v>
      </c>
      <c r="F22" s="9"/>
    </row>
    <row r="23" spans="3:6" x14ac:dyDescent="0.3">
      <c r="C23" s="1" t="s">
        <v>30</v>
      </c>
      <c r="D23" s="9" t="s">
        <v>7</v>
      </c>
      <c r="E23" s="18">
        <v>0.37</v>
      </c>
      <c r="F23" s="9"/>
    </row>
    <row r="24" spans="3:6" x14ac:dyDescent="0.3">
      <c r="C24" s="1" t="s">
        <v>31</v>
      </c>
      <c r="D24" s="9" t="s">
        <v>7</v>
      </c>
      <c r="E24" s="13">
        <v>126</v>
      </c>
      <c r="F24" s="9"/>
    </row>
    <row r="25" spans="3:6" x14ac:dyDescent="0.3">
      <c r="C25" s="1" t="s">
        <v>32</v>
      </c>
      <c r="D25" s="9" t="s">
        <v>11</v>
      </c>
      <c r="E25" s="10">
        <f>ROUNDDOWN(20.5*(E22*E23*(E24+0.812*E22))^0.737,-2)</f>
        <v>6500</v>
      </c>
      <c r="F25" s="9" t="s">
        <v>12</v>
      </c>
    </row>
    <row r="27" spans="3:6" ht="20.399999999999999" x14ac:dyDescent="0.45">
      <c r="C27" s="3" t="s">
        <v>33</v>
      </c>
      <c r="D27" s="11"/>
      <c r="E27" s="11"/>
      <c r="F27" s="11"/>
    </row>
    <row r="28" spans="3:6" x14ac:dyDescent="0.3">
      <c r="C28" s="1" t="s">
        <v>34</v>
      </c>
      <c r="D28" s="9" t="s">
        <v>2</v>
      </c>
      <c r="E28" s="13">
        <v>200</v>
      </c>
      <c r="F28" s="9" t="s">
        <v>35</v>
      </c>
    </row>
    <row r="29" spans="3:6" ht="28.8" x14ac:dyDescent="0.3">
      <c r="C29" s="7" t="s">
        <v>36</v>
      </c>
      <c r="D29" s="9" t="s">
        <v>7</v>
      </c>
      <c r="E29" s="19">
        <f>E6</f>
        <v>8</v>
      </c>
      <c r="F29" s="9" t="s">
        <v>7</v>
      </c>
    </row>
    <row r="30" spans="3:6" x14ac:dyDescent="0.3">
      <c r="C30" s="1" t="s">
        <v>37</v>
      </c>
      <c r="D30" s="9" t="s">
        <v>11</v>
      </c>
      <c r="E30" s="10">
        <f>IF(AND(E29&gt;=1,E29&lt;=24),183*(E28/100)*E29^1.21,IF(AND(E29&gt;=30,E29&lt;=60),200*(E28/100)*E29^1.07))</f>
        <v>4531.2703010921168</v>
      </c>
      <c r="F30" s="9" t="s">
        <v>12</v>
      </c>
    </row>
    <row r="32" spans="3:6" ht="20.399999999999999" x14ac:dyDescent="0.45">
      <c r="C32" s="3" t="s">
        <v>38</v>
      </c>
      <c r="D32" s="11"/>
      <c r="E32" s="11"/>
      <c r="F32" s="11"/>
    </row>
    <row r="33" spans="3:6" ht="28.8" x14ac:dyDescent="0.3">
      <c r="C33" s="7" t="s">
        <v>36</v>
      </c>
      <c r="D33" s="9" t="s">
        <v>7</v>
      </c>
      <c r="E33" s="13">
        <f>E6</f>
        <v>8</v>
      </c>
      <c r="F33" s="9" t="s">
        <v>35</v>
      </c>
    </row>
    <row r="34" spans="3:6" x14ac:dyDescent="0.3">
      <c r="C34" s="1" t="s">
        <v>39</v>
      </c>
      <c r="D34" s="9" t="s">
        <v>11</v>
      </c>
      <c r="E34" s="10">
        <f>39.15*E33^2+3592</f>
        <v>6097.6</v>
      </c>
      <c r="F34" s="9" t="s">
        <v>12</v>
      </c>
    </row>
    <row r="36" spans="3:6" ht="20.399999999999999" x14ac:dyDescent="0.45">
      <c r="C36" s="3" t="s">
        <v>40</v>
      </c>
      <c r="D36" s="11"/>
      <c r="E36" s="11"/>
      <c r="F36" s="11"/>
    </row>
    <row r="37" spans="3:6" x14ac:dyDescent="0.3">
      <c r="C37" s="7" t="s">
        <v>41</v>
      </c>
      <c r="D37" s="9" t="s">
        <v>42</v>
      </c>
      <c r="E37" s="13"/>
      <c r="F37" s="9"/>
    </row>
    <row r="38" spans="3:6" ht="28.8" x14ac:dyDescent="0.3">
      <c r="C38" s="7" t="s">
        <v>43</v>
      </c>
      <c r="D38" s="9" t="s">
        <v>11</v>
      </c>
      <c r="E38" s="10">
        <f>731.1*E37</f>
        <v>0</v>
      </c>
      <c r="F38" s="9" t="s">
        <v>12</v>
      </c>
    </row>
    <row r="40" spans="3:6" ht="20.399999999999999" x14ac:dyDescent="0.45">
      <c r="C40" s="3" t="s">
        <v>44</v>
      </c>
      <c r="D40" s="11"/>
      <c r="E40" s="11"/>
      <c r="F40" s="11"/>
    </row>
    <row r="41" spans="3:6" x14ac:dyDescent="0.3">
      <c r="C41" s="7" t="s">
        <v>45</v>
      </c>
      <c r="D41" s="9" t="s">
        <v>11</v>
      </c>
      <c r="E41" s="13">
        <v>0</v>
      </c>
      <c r="F41" s="9" t="s">
        <v>12</v>
      </c>
    </row>
    <row r="43" spans="3:6" ht="18" x14ac:dyDescent="0.35">
      <c r="C43" s="8" t="s">
        <v>46</v>
      </c>
      <c r="D43" s="20"/>
      <c r="E43" s="20"/>
      <c r="F43" s="20"/>
    </row>
    <row r="44" spans="3:6" x14ac:dyDescent="0.3">
      <c r="C44" s="7" t="s">
        <v>47</v>
      </c>
      <c r="D44" s="9" t="s">
        <v>11</v>
      </c>
      <c r="E44" s="10">
        <f>E7+F18+E25+E30+E34+E38+E41</f>
        <v>281828.8703010921</v>
      </c>
      <c r="F44" s="9" t="s">
        <v>12</v>
      </c>
    </row>
    <row r="46" spans="3:6" ht="18" x14ac:dyDescent="0.35">
      <c r="C46" s="8" t="s">
        <v>48</v>
      </c>
      <c r="D46" s="20"/>
      <c r="E46" s="20"/>
      <c r="F46" s="20"/>
    </row>
    <row r="47" spans="3:6" x14ac:dyDescent="0.3">
      <c r="C47" s="7" t="s">
        <v>47</v>
      </c>
      <c r="D47" s="9" t="s">
        <v>11</v>
      </c>
      <c r="E47" s="10">
        <f>E44</f>
        <v>281828.8703010921</v>
      </c>
      <c r="F47" s="9" t="s">
        <v>12</v>
      </c>
    </row>
    <row r="48" spans="3:6" x14ac:dyDescent="0.3">
      <c r="C48" s="7" t="s">
        <v>49</v>
      </c>
      <c r="D48" s="9" t="s">
        <v>11</v>
      </c>
      <c r="E48" s="10">
        <f>10%*E47</f>
        <v>28182.88703010921</v>
      </c>
      <c r="F48" s="9" t="s">
        <v>12</v>
      </c>
    </row>
    <row r="49" spans="3:6" x14ac:dyDescent="0.3">
      <c r="C49" s="7" t="s">
        <v>50</v>
      </c>
      <c r="D49" s="9" t="s">
        <v>11</v>
      </c>
      <c r="E49" s="10">
        <f>3%*E47</f>
        <v>8454.8661090327623</v>
      </c>
      <c r="F49" s="9" t="s">
        <v>12</v>
      </c>
    </row>
    <row r="50" spans="3:6" x14ac:dyDescent="0.3">
      <c r="C50" s="7" t="s">
        <v>51</v>
      </c>
      <c r="D50" s="9" t="s">
        <v>11</v>
      </c>
      <c r="E50" s="10">
        <f>5%*E47</f>
        <v>14091.443515054605</v>
      </c>
      <c r="F50" s="9" t="s">
        <v>12</v>
      </c>
    </row>
    <row r="51" spans="3:6" ht="28.8" x14ac:dyDescent="0.3">
      <c r="C51" s="22" t="s">
        <v>52</v>
      </c>
      <c r="D51" s="23" t="s">
        <v>11</v>
      </c>
      <c r="E51" s="24">
        <f>SUM(E47:E50)</f>
        <v>332558.0669552887</v>
      </c>
      <c r="F51" s="23" t="s">
        <v>12</v>
      </c>
    </row>
    <row r="53" spans="3:6" ht="18" x14ac:dyDescent="0.35">
      <c r="C53" s="8" t="s">
        <v>53</v>
      </c>
      <c r="D53" s="20"/>
      <c r="E53" s="20"/>
      <c r="F53" s="20"/>
    </row>
    <row r="54" spans="3:6" ht="28.8" x14ac:dyDescent="0.3">
      <c r="C54" s="7" t="s">
        <v>54</v>
      </c>
      <c r="D54" s="9" t="s">
        <v>11</v>
      </c>
      <c r="E54" s="10">
        <f>12%*E51</f>
        <v>39906.968034634643</v>
      </c>
      <c r="F54" s="9" t="s">
        <v>12</v>
      </c>
    </row>
    <row r="55" spans="3:6" ht="28.8" x14ac:dyDescent="0.3">
      <c r="C55" s="7" t="s">
        <v>55</v>
      </c>
      <c r="D55" s="9" t="s">
        <v>11</v>
      </c>
      <c r="E55" s="10">
        <f>40%*E51</f>
        <v>133023.2267821155</v>
      </c>
      <c r="F55" s="9" t="s">
        <v>12</v>
      </c>
    </row>
    <row r="56" spans="3:6" x14ac:dyDescent="0.3">
      <c r="C56" s="7" t="s">
        <v>56</v>
      </c>
      <c r="D56" s="9" t="s">
        <v>11</v>
      </c>
      <c r="E56" s="10">
        <f>1%*E51</f>
        <v>3325.5806695528872</v>
      </c>
      <c r="F56" s="9" t="s">
        <v>12</v>
      </c>
    </row>
    <row r="57" spans="3:6" x14ac:dyDescent="0.3">
      <c r="C57" s="7" t="s">
        <v>57</v>
      </c>
      <c r="D57" s="9" t="s">
        <v>11</v>
      </c>
      <c r="E57" s="10">
        <f>2%*E51</f>
        <v>6651.1613391057745</v>
      </c>
      <c r="F57" s="9" t="s">
        <v>12</v>
      </c>
    </row>
    <row r="58" spans="3:6" x14ac:dyDescent="0.3">
      <c r="C58" s="7" t="s">
        <v>58</v>
      </c>
      <c r="D58" s="9" t="s">
        <v>11</v>
      </c>
      <c r="E58" s="10">
        <f>1%*E51</f>
        <v>3325.5806695528872</v>
      </c>
      <c r="F58" s="9" t="s">
        <v>12</v>
      </c>
    </row>
    <row r="59" spans="3:6" x14ac:dyDescent="0.3">
      <c r="C59" s="7" t="s">
        <v>59</v>
      </c>
      <c r="D59" s="9" t="s">
        <v>11</v>
      </c>
      <c r="E59" s="10">
        <f>1%*E51</f>
        <v>3325.5806695528872</v>
      </c>
      <c r="F59" s="9" t="s">
        <v>12</v>
      </c>
    </row>
    <row r="60" spans="3:6" ht="28.8" x14ac:dyDescent="0.3">
      <c r="C60" s="25" t="s">
        <v>60</v>
      </c>
      <c r="D60" s="23" t="s">
        <v>11</v>
      </c>
      <c r="E60" s="24">
        <f>SUM(E54:E59)</f>
        <v>189558.09816451452</v>
      </c>
      <c r="F60" s="23" t="s">
        <v>12</v>
      </c>
    </row>
    <row r="61" spans="3:6" x14ac:dyDescent="0.3">
      <c r="C61" s="7" t="s">
        <v>61</v>
      </c>
      <c r="D61" s="9"/>
      <c r="E61" s="26"/>
      <c r="F61" s="9"/>
    </row>
    <row r="62" spans="3:6" ht="28.8" x14ac:dyDescent="0.3">
      <c r="C62" s="25" t="s">
        <v>64</v>
      </c>
      <c r="D62" s="23"/>
      <c r="E62" s="24">
        <v>0</v>
      </c>
      <c r="F62" s="9" t="s">
        <v>12</v>
      </c>
    </row>
    <row r="63" spans="3:6" x14ac:dyDescent="0.3">
      <c r="C63" s="7" t="s">
        <v>62</v>
      </c>
      <c r="D63" s="9"/>
      <c r="E63" s="26"/>
      <c r="F63" s="9"/>
    </row>
    <row r="64" spans="3:6" ht="28.8" x14ac:dyDescent="0.3">
      <c r="C64" s="25" t="s">
        <v>63</v>
      </c>
      <c r="D64" s="23"/>
      <c r="E64" s="24">
        <v>0</v>
      </c>
      <c r="F64" s="9" t="s">
        <v>12</v>
      </c>
    </row>
    <row r="65" spans="3:6" x14ac:dyDescent="0.3">
      <c r="C65" s="25" t="s">
        <v>65</v>
      </c>
      <c r="D65" s="23"/>
      <c r="E65" s="24">
        <f>SUM(E60+E62+E64)+E51</f>
        <v>522116.16511980322</v>
      </c>
      <c r="F65" s="23" t="s">
        <v>12</v>
      </c>
    </row>
    <row r="67" spans="3:6" ht="18" x14ac:dyDescent="0.35">
      <c r="C67" s="8" t="s">
        <v>66</v>
      </c>
      <c r="D67" s="20"/>
      <c r="E67" s="20"/>
      <c r="F67" s="20"/>
    </row>
    <row r="68" spans="3:6" x14ac:dyDescent="0.3">
      <c r="C68" s="7" t="s">
        <v>67</v>
      </c>
      <c r="D68" s="9" t="s">
        <v>11</v>
      </c>
      <c r="E68" s="10">
        <f>10%*$E$51</f>
        <v>33255.806695528874</v>
      </c>
      <c r="F68" s="9" t="s">
        <v>12</v>
      </c>
    </row>
    <row r="69" spans="3:6" ht="28.8" x14ac:dyDescent="0.3">
      <c r="C69" s="7" t="s">
        <v>68</v>
      </c>
      <c r="D69" s="9" t="s">
        <v>11</v>
      </c>
      <c r="E69" s="10">
        <f t="shared" ref="E69:E70" si="1">10%*$E$51</f>
        <v>33255.806695528874</v>
      </c>
      <c r="F69" s="9" t="s">
        <v>12</v>
      </c>
    </row>
    <row r="70" spans="3:6" x14ac:dyDescent="0.3">
      <c r="C70" s="7" t="s">
        <v>69</v>
      </c>
      <c r="D70" s="9" t="s">
        <v>11</v>
      </c>
      <c r="E70" s="10">
        <f t="shared" si="1"/>
        <v>33255.806695528874</v>
      </c>
      <c r="F70" s="9" t="s">
        <v>12</v>
      </c>
    </row>
    <row r="71" spans="3:6" x14ac:dyDescent="0.3">
      <c r="C71" s="7" t="s">
        <v>70</v>
      </c>
      <c r="D71" s="9" t="s">
        <v>11</v>
      </c>
      <c r="E71" s="10">
        <f>1%*$E$51</f>
        <v>3325.5806695528872</v>
      </c>
      <c r="F71" s="9" t="s">
        <v>12</v>
      </c>
    </row>
    <row r="72" spans="3:6" x14ac:dyDescent="0.3">
      <c r="C72" s="7" t="s">
        <v>71</v>
      </c>
      <c r="D72" s="9" t="s">
        <v>11</v>
      </c>
      <c r="E72" s="10">
        <f>1%*$E$51</f>
        <v>3325.5806695528872</v>
      </c>
      <c r="F72" s="9" t="s">
        <v>12</v>
      </c>
    </row>
    <row r="73" spans="3:6" ht="28.8" x14ac:dyDescent="0.3">
      <c r="C73" s="25" t="s">
        <v>72</v>
      </c>
      <c r="D73" s="23" t="s">
        <v>11</v>
      </c>
      <c r="E73" s="24">
        <f>SUM(E68:E72)</f>
        <v>106418.58142569239</v>
      </c>
      <c r="F73" s="23" t="s">
        <v>12</v>
      </c>
    </row>
    <row r="75" spans="3:6" ht="18" x14ac:dyDescent="0.35">
      <c r="C75" s="8" t="s">
        <v>73</v>
      </c>
      <c r="D75" s="20"/>
      <c r="E75" s="20"/>
      <c r="F75" s="20"/>
    </row>
    <row r="76" spans="3:6" x14ac:dyDescent="0.3">
      <c r="C76" s="7" t="s">
        <v>74</v>
      </c>
      <c r="D76" s="9" t="s">
        <v>11</v>
      </c>
      <c r="E76" s="10">
        <f>10%*(E65+E73)</f>
        <v>62853.474654549558</v>
      </c>
      <c r="F76" s="9" t="s">
        <v>12</v>
      </c>
    </row>
    <row r="78" spans="3:6" ht="18" x14ac:dyDescent="0.35">
      <c r="C78" s="8" t="s">
        <v>75</v>
      </c>
      <c r="D78" s="20"/>
      <c r="E78" s="20"/>
      <c r="F78" s="20"/>
    </row>
    <row r="79" spans="3:6" ht="28.8" x14ac:dyDescent="0.3">
      <c r="C79" s="7" t="s">
        <v>76</v>
      </c>
      <c r="D79" s="9" t="s">
        <v>11</v>
      </c>
      <c r="E79" s="10">
        <f>E65+E73+E76</f>
        <v>691388.2212000452</v>
      </c>
      <c r="F79" s="9" t="s">
        <v>12</v>
      </c>
    </row>
  </sheetData>
  <mergeCells count="2">
    <mergeCell ref="C19:F19"/>
    <mergeCell ref="C18:E18"/>
  </mergeCells>
  <dataValidations count="1">
    <dataValidation type="list" allowBlank="1" showInputMessage="1" showErrorMessage="1" sqref="E4" xr:uid="{2490F862-D2FF-4AEF-8BE4-4BFF14B08F58}">
      <formula1>$M$3:$M$5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2025-12-31T10:46:35Z</dcterms:created>
  <dcterms:modified xsi:type="dcterms:W3CDTF">2026-02-18T08:35:54Z</dcterms:modified>
</cp:coreProperties>
</file>