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605\"/>
    </mc:Choice>
  </mc:AlternateContent>
  <xr:revisionPtr revIDLastSave="0" documentId="13_ncr:1_{CE7AEF34-EF3E-496E-ABAA-4A2068D79C17}" xr6:coauthVersionLast="47" xr6:coauthVersionMax="47" xr10:uidLastSave="{00000000-0000-0000-0000-000000000000}"/>
  <bookViews>
    <workbookView xWindow="-108" yWindow="-108" windowWidth="23256" windowHeight="12576" xr2:uid="{D1865684-48F2-412A-9339-E3CB0587F9AD}"/>
  </bookViews>
  <sheets>
    <sheet name="Calculation" sheetId="1" r:id="rId1"/>
    <sheet name="Head dimen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H44" i="1" s="1"/>
  <c r="H45" i="1" s="1"/>
  <c r="F8" i="1"/>
  <c r="F30" i="1" s="1"/>
  <c r="F31" i="1" s="1"/>
  <c r="F32" i="1" s="1"/>
  <c r="E30" i="1"/>
  <c r="E31" i="1" s="1"/>
  <c r="E19" i="1"/>
  <c r="E20" i="1" s="1"/>
  <c r="E21" i="1" s="1"/>
  <c r="E22" i="1" s="1"/>
  <c r="F125" i="1"/>
  <c r="F124" i="1"/>
  <c r="F123" i="1"/>
  <c r="E114" i="1"/>
  <c r="E116" i="1"/>
  <c r="F86" i="1"/>
  <c r="E49" i="1"/>
  <c r="E51" i="1" s="1"/>
  <c r="E60" i="1" s="1"/>
  <c r="E44" i="1"/>
  <c r="E41" i="1"/>
  <c r="F40" i="1"/>
  <c r="E40" i="1"/>
  <c r="F19" i="1"/>
  <c r="F20" i="1" s="1"/>
  <c r="F21" i="1" s="1"/>
  <c r="F22" i="1" s="1"/>
  <c r="H46" i="1" l="1"/>
  <c r="F24" i="1"/>
  <c r="F25" i="1" s="1"/>
  <c r="E24" i="1"/>
  <c r="E26" i="1" s="1"/>
  <c r="E66" i="1"/>
  <c r="F66" i="1" s="1"/>
  <c r="F67" i="1" s="1"/>
  <c r="E52" i="1"/>
  <c r="E59" i="1"/>
  <c r="E50" i="1"/>
  <c r="F41" i="1"/>
  <c r="E48" i="1"/>
  <c r="E81" i="1" s="1"/>
  <c r="E93" i="1" s="1"/>
  <c r="E33" i="1"/>
  <c r="E34" i="1" s="1"/>
  <c r="E80" i="1" s="1"/>
  <c r="E32" i="1"/>
  <c r="F35" i="1" s="1"/>
  <c r="F33" i="1"/>
  <c r="F34" i="1" s="1"/>
  <c r="F26" i="1" l="1"/>
  <c r="E25" i="1"/>
  <c r="E43" i="1"/>
  <c r="F43" i="1" s="1"/>
  <c r="F44" i="1" s="1"/>
  <c r="F85" i="1" s="1"/>
  <c r="F87" i="1" s="1"/>
  <c r="F88" i="1" s="1"/>
  <c r="F89" i="1" s="1"/>
  <c r="F108" i="1"/>
  <c r="F116" i="1" s="1"/>
  <c r="F42" i="1"/>
  <c r="F68" i="1"/>
  <c r="F36" i="1"/>
  <c r="F49" i="1" l="1"/>
  <c r="F50" i="1" s="1"/>
  <c r="F75" i="1"/>
  <c r="F48" i="1"/>
  <c r="F58" i="1"/>
  <c r="F69" i="1"/>
  <c r="F70" i="1" s="1"/>
  <c r="F91" i="1"/>
  <c r="F92" i="1" s="1"/>
  <c r="F109" i="1"/>
  <c r="F100" i="1"/>
  <c r="F102" i="1" s="1"/>
  <c r="F103" i="1" s="1"/>
  <c r="F104" i="1" s="1"/>
  <c r="F71" i="1"/>
  <c r="F59" i="1" l="1"/>
  <c r="F61" i="1" s="1"/>
  <c r="F51" i="1"/>
  <c r="F60" i="1" s="1"/>
  <c r="F62" i="1" s="1"/>
  <c r="F76" i="1"/>
  <c r="F93" i="1" s="1"/>
  <c r="F114" i="1"/>
  <c r="F110" i="1"/>
  <c r="F90" i="1"/>
  <c r="F101" i="1"/>
  <c r="F53" i="1"/>
  <c r="F77" i="1" l="1"/>
  <c r="F81" i="1"/>
  <c r="F52" i="1"/>
  <c r="F54" i="1" s="1"/>
  <c r="F79" i="1"/>
  <c r="F80" i="1" s="1"/>
  <c r="F78" i="1"/>
  <c r="F112" i="1"/>
  <c r="F113" i="1" s="1"/>
  <c r="F111" i="1"/>
  <c r="F115" i="1" s="1"/>
  <c r="F117" i="1" l="1"/>
</calcChain>
</file>

<file path=xl/sharedStrings.xml><?xml version="1.0" encoding="utf-8"?>
<sst xmlns="http://schemas.openxmlformats.org/spreadsheetml/2006/main" count="221" uniqueCount="104">
  <si>
    <t>Pitched-blade</t>
  </si>
  <si>
    <t>Hydrofoil</t>
  </si>
  <si>
    <t>T</t>
  </si>
  <si>
    <t>V</t>
  </si>
  <si>
    <t>n</t>
  </si>
  <si>
    <t>D</t>
  </si>
  <si>
    <t>N</t>
  </si>
  <si>
    <t>Impeller Type</t>
  </si>
  <si>
    <t>Pilot Scale</t>
  </si>
  <si>
    <t>Large Scale</t>
  </si>
  <si>
    <t>Tank Diameter (in)</t>
  </si>
  <si>
    <t>Tank Volume (gal)</t>
  </si>
  <si>
    <t>Number of Impellers (units)</t>
  </si>
  <si>
    <t>Diameter of Impellers (in)</t>
  </si>
  <si>
    <t>Agitator Speed (rpm)</t>
  </si>
  <si>
    <t>Np</t>
  </si>
  <si>
    <t>Power Number</t>
  </si>
  <si>
    <t>More Info:</t>
  </si>
  <si>
    <t>1. https://www.bakertankhead.com/products/tank-heads/</t>
  </si>
  <si>
    <t>2. https://cmc-letco.com/assets/pdfs/CMCLETCO%20HEAD%20SIZES.pdf</t>
  </si>
  <si>
    <t>Tank Head</t>
  </si>
  <si>
    <t>ASME Dish Head</t>
  </si>
  <si>
    <t>Parameters</t>
  </si>
  <si>
    <t>IDD</t>
  </si>
  <si>
    <t>Head Volume (gal)</t>
  </si>
  <si>
    <t>Depth to Straight Side (in)</t>
  </si>
  <si>
    <t>Volume of Straight Side (gal)</t>
  </si>
  <si>
    <t>Liquid Level in Straight Side (in)</t>
  </si>
  <si>
    <t>Volume of Straight Side (in3)</t>
  </si>
  <si>
    <t>Total Liquid Level (in)</t>
  </si>
  <si>
    <t>Contingency</t>
  </si>
  <si>
    <t>(Note 1)</t>
  </si>
  <si>
    <t>Note:</t>
  </si>
  <si>
    <t>1. Contingency 5%-10% because tank volume is typically filled by tank internals, such as impellers, shaft, baffles</t>
  </si>
  <si>
    <t>Total Liquid Level after Contingency (in)</t>
  </si>
  <si>
    <t>Straight Side (in)</t>
  </si>
  <si>
    <t>Conclusion</t>
  </si>
  <si>
    <t>-&gt; If total liquid level is less than straight side, then tank straight side is sufficient.</t>
  </si>
  <si>
    <t>DATA</t>
  </si>
  <si>
    <t>Liquid Level/Tank Diameter Ratio</t>
  </si>
  <si>
    <t>-&gt; If the ratio is not similar, it s necessary to use non geometric scale-up.</t>
  </si>
  <si>
    <t>Specific Gravity of Liquid</t>
  </si>
  <si>
    <t>Power (hp) per impeller</t>
  </si>
  <si>
    <t>Total power (hp)</t>
  </si>
  <si>
    <t>Power per volume (hp/1000 gal)</t>
  </si>
  <si>
    <t>Torque (in-lb)</t>
  </si>
  <si>
    <t>Comparison power per volume</t>
  </si>
  <si>
    <t>Torque per volume (in-lb/1000 gal)</t>
  </si>
  <si>
    <t>Comparison torque per volume</t>
  </si>
  <si>
    <t>2. Power per volume is often associated with agitation for mass transfer</t>
  </si>
  <si>
    <t>3. Torque per volume is often related to liquid velocities</t>
  </si>
  <si>
    <t>4. Torque per volume should not be less than 1/3 of original value, unless pilot scale was tested with much more than minimum level of agitation</t>
  </si>
  <si>
    <t>(Note 2, 5)</t>
  </si>
  <si>
    <t>5. Drastic changes in power and torque per unit volume signal the needs to adopt step-by-step non geometric scale-up</t>
  </si>
  <si>
    <t>(Note 6)</t>
  </si>
  <si>
    <t>6. For geometric similarity, the ratios of all the length dimensions are the same to the large scale</t>
  </si>
  <si>
    <t>Tip Speed (ft/min)</t>
  </si>
  <si>
    <t>(Note 3, 4, 5, 7)</t>
  </si>
  <si>
    <t>7. Liquid velocities (torque/volume) are important measure of agitation. Therefore, keeping torque/volume constant is more important than keeping power/volume constant</t>
  </si>
  <si>
    <t>1. LIQUID LEVEL CALCULATION</t>
  </si>
  <si>
    <t>2. POWER PER VOLUME AND TORQUE PER VOLUME COMPARISON</t>
  </si>
  <si>
    <t>3. GEOMETRIC SIMILARITY SCALE-UP</t>
  </si>
  <si>
    <t>4. VOLUME ADJUSTMENT FOR LARGE SCALE TO ACHIEVE TARGET VOLUME</t>
  </si>
  <si>
    <t>Check if volume is satisfied the requirement</t>
  </si>
  <si>
    <t>-</t>
  </si>
  <si>
    <t xml:space="preserve">Power per volume (hp/1000 gal) </t>
  </si>
  <si>
    <t>(Using calculated volume in Step 3)</t>
  </si>
  <si>
    <t>(Using target volume, see Data)</t>
  </si>
  <si>
    <t>5. ADJUST STEP 4 RESULTS TO GAIN CONSTANT TORQUE PER VOLUME</t>
  </si>
  <si>
    <t>(Torque per volume constant)</t>
  </si>
  <si>
    <t>(Desired torque in target volume)</t>
  </si>
  <si>
    <t>Impeller speed (rpm)</t>
  </si>
  <si>
    <t>(To give constant torque per volume)</t>
  </si>
  <si>
    <t>Tip speed (ft/min)</t>
  </si>
  <si>
    <t>6. ADJUST STEP 5 RESULTS TO GAIN CONSTANT TIP SPEED IN ADDITION TO CONSTANT TORQUE PER UNIT VOLUME</t>
  </si>
  <si>
    <t>-&gt; To get constant tip speed and constant torque per unit volume at the same time</t>
  </si>
  <si>
    <t>-&gt; Change in impeller diameter, both tip speed and torque per unit volume can be held constant simultaneously</t>
  </si>
  <si>
    <t>Impeller Diameter (in)</t>
  </si>
  <si>
    <t>Rotational speed (rpm)</t>
  </si>
  <si>
    <t>-&gt; Rotational speed that will keep tip speed and torque per unit volume the same</t>
  </si>
  <si>
    <t>7. INVESTIGATE CHANGING THE NUMBER OF IMPELLERS</t>
  </si>
  <si>
    <t>Calculated volume (gal)</t>
  </si>
  <si>
    <t>Desired volume (gal)</t>
  </si>
  <si>
    <t>Volume incresed (times)</t>
  </si>
  <si>
    <t>Number of impellers</t>
  </si>
  <si>
    <t>-&gt; Using geometric similarity scale-up</t>
  </si>
  <si>
    <t>-&gt; If using geometric similarity scale-up</t>
  </si>
  <si>
    <t>8. INVESTIGATE CHANGING IMPELLER TYPE WHILE KEEPING TIP SPEED CONSTANT</t>
  </si>
  <si>
    <t>Type of impeller</t>
  </si>
  <si>
    <t>Power number (Np)</t>
  </si>
  <si>
    <t>-&gt; Agitation intensity is not as high as pilot scale</t>
  </si>
  <si>
    <t>9. CHANGE IMPELLER TYPE WITH EQUAL TIP SPEED AND ADJUSTED TORQUE PER VOLUME</t>
  </si>
  <si>
    <t>-&gt; assuming torque of hydrofoil impeller is half of pitched-blade impeller</t>
  </si>
  <si>
    <t>Impeller to tank diameter ratio</t>
  </si>
  <si>
    <t>-&gt; same tip speed</t>
  </si>
  <si>
    <t>-&gt; decrease 50%, still acceptable</t>
  </si>
  <si>
    <t xml:space="preserve">EFFECT OF CHANGE IN DIAMETER IN PILOT TEST </t>
  </si>
  <si>
    <t>Impeller 6 in</t>
  </si>
  <si>
    <t>Impeller 7 in</t>
  </si>
  <si>
    <t>-&gt; Equal tip speed + assuming all fluid properties are the same and impellers are geometrically similar in turbulent condition</t>
  </si>
  <si>
    <t>-&gt; Equal power + assuming all fluid properties are the same and impellers are geometrically similar in turbulent condition</t>
  </si>
  <si>
    <t>-&gt; Equal torque + assuming all fluid properties are the same and impellers are geometrically similar in turbulent condition</t>
  </si>
  <si>
    <t>gal</t>
  </si>
  <si>
    <t>in^3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</si>
</sst>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0" fontId="2" fillId="0" borderId="1" xfId="1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9" fontId="2" fillId="6" borderId="1" xfId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137160</xdr:colOff>
      <xdr:row>69</xdr:row>
      <xdr:rowOff>83820</xdr:rowOff>
    </xdr:from>
    <xdr:to>
      <xdr:col>24</xdr:col>
      <xdr:colOff>400923</xdr:colOff>
      <xdr:row>74</xdr:row>
      <xdr:rowOff>99865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387B1F-C913-1042-CDA2-8778BAA2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48460" y="13754100"/>
          <a:ext cx="3921363" cy="11895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18</xdr:col>
      <xdr:colOff>144779</xdr:colOff>
      <xdr:row>74</xdr:row>
      <xdr:rowOff>152400</xdr:rowOff>
    </xdr:from>
    <xdr:to>
      <xdr:col>24</xdr:col>
      <xdr:colOff>411276</xdr:colOff>
      <xdr:row>81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8F730-D588-17B3-22D8-DF22F574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56079" y="14996160"/>
          <a:ext cx="3924097" cy="13030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7</xdr:col>
      <xdr:colOff>403860</xdr:colOff>
      <xdr:row>6</xdr:row>
      <xdr:rowOff>190500</xdr:rowOff>
    </xdr:from>
    <xdr:to>
      <xdr:col>10</xdr:col>
      <xdr:colOff>0</xdr:colOff>
      <xdr:row>15</xdr:row>
      <xdr:rowOff>68580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7E59513-CE61-89A7-C02C-7BC14A2B22C0}"/>
            </a:ext>
          </a:extLst>
        </xdr:cNvPr>
        <xdr:cNvSpPr/>
      </xdr:nvSpPr>
      <xdr:spPr>
        <a:xfrm>
          <a:off x="7909560" y="1379220"/>
          <a:ext cx="1424940" cy="166116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403860</xdr:colOff>
      <xdr:row>15</xdr:row>
      <xdr:rowOff>30810</xdr:rowOff>
    </xdr:from>
    <xdr:to>
      <xdr:col>10</xdr:col>
      <xdr:colOff>330</xdr:colOff>
      <xdr:row>17</xdr:row>
      <xdr:rowOff>182880</xdr:rowOff>
    </xdr:to>
    <xdr:sp macro="" textlink="">
      <xdr:nvSpPr>
        <xdr:cNvPr id="8" name="Flowchart: Delay 7">
          <a:extLst>
            <a:ext uri="{FF2B5EF4-FFF2-40B4-BE49-F238E27FC236}">
              <a16:creationId xmlns:a16="http://schemas.microsoft.com/office/drawing/2014/main" id="{FA6303EB-9491-01DA-DC8D-61239A4CB3DD}"/>
            </a:ext>
          </a:extLst>
        </xdr:cNvPr>
        <xdr:cNvSpPr/>
      </xdr:nvSpPr>
      <xdr:spPr>
        <a:xfrm rot="5400000">
          <a:off x="8348040" y="2564130"/>
          <a:ext cx="548310" cy="1425270"/>
        </a:xfrm>
        <a:prstGeom prst="flowChartDelay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419100</xdr:colOff>
      <xdr:row>10</xdr:row>
      <xdr:rowOff>46892</xdr:rowOff>
    </xdr:from>
    <xdr:to>
      <xdr:col>9</xdr:col>
      <xdr:colOff>595745</xdr:colOff>
      <xdr:row>16</xdr:row>
      <xdr:rowOff>38101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1A23D02-F034-4B7F-AA9D-FFACF281C423}"/>
            </a:ext>
          </a:extLst>
        </xdr:cNvPr>
        <xdr:cNvSpPr/>
      </xdr:nvSpPr>
      <xdr:spPr>
        <a:xfrm>
          <a:off x="7927731" y="2039815"/>
          <a:ext cx="1395845" cy="118696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403860</xdr:colOff>
      <xdr:row>16</xdr:row>
      <xdr:rowOff>106845</xdr:rowOff>
    </xdr:from>
    <xdr:to>
      <xdr:col>10</xdr:col>
      <xdr:colOff>330</xdr:colOff>
      <xdr:row>16</xdr:row>
      <xdr:rowOff>106845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74E4374-58CA-D80A-369F-6D58E5128CFE}"/>
            </a:ext>
          </a:extLst>
        </xdr:cNvPr>
        <xdr:cNvCxnSpPr>
          <a:stCxn id="8" idx="2"/>
          <a:endCxn id="8" idx="0"/>
        </xdr:cNvCxnSpPr>
      </xdr:nvCxnSpPr>
      <xdr:spPr>
        <a:xfrm>
          <a:off x="7910649" y="3311599"/>
          <a:ext cx="1425270" cy="0"/>
        </a:xfrm>
        <a:prstGeom prst="line">
          <a:avLst/>
        </a:prstGeom>
        <a:ln w="1270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506895</xdr:colOff>
      <xdr:row>16</xdr:row>
      <xdr:rowOff>99646</xdr:rowOff>
    </xdr:from>
    <xdr:to>
      <xdr:col>8</xdr:col>
      <xdr:colOff>506895</xdr:colOff>
      <xdr:row>17</xdr:row>
      <xdr:rowOff>182880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20D4BA2-2496-A60F-0C39-D8FAF1B72D19}"/>
            </a:ext>
          </a:extLst>
        </xdr:cNvPr>
        <xdr:cNvCxnSpPr>
          <a:endCxn id="8" idx="3"/>
        </xdr:cNvCxnSpPr>
      </xdr:nvCxnSpPr>
      <xdr:spPr>
        <a:xfrm>
          <a:off x="8625126" y="3288323"/>
          <a:ext cx="0" cy="282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506895</xdr:colOff>
      <xdr:row>10</xdr:row>
      <xdr:rowOff>46892</xdr:rowOff>
    </xdr:from>
    <xdr:to>
      <xdr:col>8</xdr:col>
      <xdr:colOff>507423</xdr:colOff>
      <xdr:row>16</xdr:row>
      <xdr:rowOff>89095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B055266E-03B3-423E-A074-3C87855FB883}"/>
            </a:ext>
          </a:extLst>
        </xdr:cNvPr>
        <xdr:cNvCxnSpPr>
          <a:stCxn id="9" idx="0"/>
        </xdr:cNvCxnSpPr>
      </xdr:nvCxnSpPr>
      <xdr:spPr>
        <a:xfrm flipH="1">
          <a:off x="8625126" y="2039815"/>
          <a:ext cx="528" cy="123795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443947</xdr:colOff>
      <xdr:row>12</xdr:row>
      <xdr:rowOff>192156</xdr:rowOff>
    </xdr:from>
    <xdr:ext cx="25224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A2896D3-89CC-4DDA-48B2-6ED87DB63A12}"/>
            </a:ext>
          </a:extLst>
        </xdr:cNvPr>
        <xdr:cNvSpPr txBox="1"/>
      </xdr:nvSpPr>
      <xdr:spPr>
        <a:xfrm>
          <a:off x="8560904" y="2577547"/>
          <a:ext cx="25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a</a:t>
          </a:r>
        </a:p>
      </xdr:txBody>
    </xdr:sp>
    <xdr:clientData/>
  </xdr:oneCellAnchor>
  <xdr:oneCellAnchor>
    <xdr:from>
      <xdr:col>8</xdr:col>
      <xdr:colOff>463826</xdr:colOff>
      <xdr:row>16</xdr:row>
      <xdr:rowOff>86138</xdr:rowOff>
    </xdr:from>
    <xdr:ext cx="258789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CC4F0F9-5AE7-435C-A1D5-39BB563C880A}"/>
            </a:ext>
          </a:extLst>
        </xdr:cNvPr>
        <xdr:cNvSpPr txBox="1"/>
      </xdr:nvSpPr>
      <xdr:spPr>
        <a:xfrm>
          <a:off x="8580783" y="3266660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b</a:t>
          </a:r>
        </a:p>
      </xdr:txBody>
    </xdr:sp>
    <xdr:clientData/>
  </xdr:oneCellAnchor>
  <xdr:oneCellAnchor>
    <xdr:from>
      <xdr:col>7</xdr:col>
      <xdr:colOff>516834</xdr:colOff>
      <xdr:row>18</xdr:row>
      <xdr:rowOff>79512</xdr:rowOff>
    </xdr:from>
    <xdr:ext cx="1621085" cy="43678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394B6C3-ACF3-4CE8-83EF-F9E2D1FA7FB3}"/>
            </a:ext>
          </a:extLst>
        </xdr:cNvPr>
        <xdr:cNvSpPr txBox="1"/>
      </xdr:nvSpPr>
      <xdr:spPr>
        <a:xfrm>
          <a:off x="8024191" y="3657599"/>
          <a:ext cx="162108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a = straight side</a:t>
          </a:r>
        </a:p>
        <a:p>
          <a:r>
            <a:rPr lang="en-ID" sz="1100"/>
            <a:t>b = depth to straight</a:t>
          </a:r>
          <a:r>
            <a:rPr lang="en-ID" sz="1100" baseline="0"/>
            <a:t> side</a:t>
          </a:r>
          <a:endParaRPr lang="en-ID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464820</xdr:colOff>
      <xdr:row>1</xdr:row>
      <xdr:rowOff>30480</xdr:rowOff>
    </xdr:from>
    <xdr:to>
      <xdr:col>18</xdr:col>
      <xdr:colOff>434877</xdr:colOff>
      <xdr:row>32</xdr:row>
      <xdr:rowOff>1282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D6F5C1-965F-FD4F-C6EF-B474A2A5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213360"/>
          <a:ext cx="10942857" cy="6771428"/>
        </a:xfrm>
        <a:prstGeom prst="rect">
          <a:avLst/>
        </a:prstGeom>
      </xdr:spPr>
    </xdr:pic>
    <xdr:clientData/>
  </xdr:twoCellAnchor>
  <xdr:twoCellAnchor>
    <xdr:from>
      <xdr:col>5</xdr:col>
      <xdr:colOff>60960</xdr:colOff>
      <xdr:row>3</xdr:row>
      <xdr:rowOff>190500</xdr:rowOff>
    </xdr:from>
    <xdr:to>
      <xdr:col>8</xdr:col>
      <xdr:colOff>190500</xdr:colOff>
      <xdr:row>4</xdr:row>
      <xdr:rowOff>182880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55FF421-0B04-E0BC-2A67-B33FACE68EA6}"/>
            </a:ext>
          </a:extLst>
        </xdr:cNvPr>
        <xdr:cNvSpPr/>
      </xdr:nvSpPr>
      <xdr:spPr>
        <a:xfrm>
          <a:off x="3108960" y="830580"/>
          <a:ext cx="1958340" cy="2057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19</xdr:col>
      <xdr:colOff>83820</xdr:colOff>
      <xdr:row>1</xdr:row>
      <xdr:rowOff>68580</xdr:rowOff>
    </xdr:from>
    <xdr:to>
      <xdr:col>23</xdr:col>
      <xdr:colOff>502920</xdr:colOff>
      <xdr:row>7</xdr:row>
      <xdr:rowOff>181535</xdr:rowOff>
    </xdr:to>
    <xdr:pic>
      <xdr:nvPicPr>
        <xdr:cNvPr id="4" name="Picture 3" descr="Drawing of tank head | Baker Tankhead">
          <a:extLst>
            <a:ext uri="{FF2B5EF4-FFF2-40B4-BE49-F238E27FC236}">
              <a16:creationId xmlns:a16="http://schemas.microsoft.com/office/drawing/2014/main" id="{42904265-C123-85BD-1EA1-9120F3DC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6220" y="251460"/>
          <a:ext cx="2857500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</xdr:colOff>
      <xdr:row>20</xdr:row>
      <xdr:rowOff>0</xdr:rowOff>
    </xdr:from>
    <xdr:to>
      <xdr:col>8</xdr:col>
      <xdr:colOff>167640</xdr:colOff>
      <xdr:row>20</xdr:row>
      <xdr:rowOff>205740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1ACA239-4BF3-4D0B-A83D-B7EBBCF67F63}"/>
            </a:ext>
          </a:extLst>
        </xdr:cNvPr>
        <xdr:cNvSpPr/>
      </xdr:nvSpPr>
      <xdr:spPr>
        <a:xfrm>
          <a:off x="3086100" y="4267200"/>
          <a:ext cx="1958340" cy="2057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465B-3216-4A67-8758-9F0544E4B4E8}">
  <dimension ref="C2:I134"/>
  <sheetViews>
    <sheetView showGridLines="0" tabSelected="1" topLeftCell="A77" zoomScale="115" zoomScaleNormal="115" workbookViewId="0">
      <selection activeCell="F93" sqref="F93"/>
    </sheetView>
  </sheetViews>
  <sheetFormatPr defaultRowHeight="15.6" customHeight="1" x14ac:dyDescent="0.3"/>
  <cols>
    <col min="1" max="2" width="8.88671875" style="2"/>
    <col min="3" max="3" width="13.21875" style="3" bestFit="1" customWidth="1"/>
    <col min="4" max="4" width="37" style="2" bestFit="1" customWidth="1"/>
    <col min="5" max="5" width="15.77734375" style="3" customWidth="1"/>
    <col min="6" max="6" width="16.77734375" style="3" customWidth="1"/>
    <col min="7" max="8" width="8.88671875" style="2"/>
    <col min="9" max="9" width="13.88671875" style="2" bestFit="1" customWidth="1"/>
    <col min="10" max="16384" width="8.88671875" style="2"/>
  </cols>
  <sheetData>
    <row r="2" spans="3:6" ht="15.6" customHeight="1" x14ac:dyDescent="0.3">
      <c r="C2" s="17" t="s">
        <v>38</v>
      </c>
      <c r="D2" s="18"/>
      <c r="E2" s="19"/>
      <c r="F2" s="20"/>
    </row>
    <row r="3" spans="3:6" ht="15.6" customHeight="1" x14ac:dyDescent="0.3">
      <c r="C3" s="41" t="s">
        <v>22</v>
      </c>
      <c r="D3" s="41"/>
      <c r="E3" s="25" t="s">
        <v>8</v>
      </c>
      <c r="F3" s="25" t="s">
        <v>9</v>
      </c>
    </row>
    <row r="4" spans="3:6" ht="15.6" customHeight="1" x14ac:dyDescent="0.3">
      <c r="C4" s="5" t="s">
        <v>2</v>
      </c>
      <c r="D4" s="6" t="s">
        <v>10</v>
      </c>
      <c r="E4" s="5">
        <v>18</v>
      </c>
      <c r="F4" s="5">
        <v>120</v>
      </c>
    </row>
    <row r="5" spans="3:6" ht="15.6" customHeight="1" x14ac:dyDescent="0.3">
      <c r="C5" s="5" t="s">
        <v>3</v>
      </c>
      <c r="D5" s="6" t="s">
        <v>11</v>
      </c>
      <c r="E5" s="5">
        <v>15</v>
      </c>
      <c r="F5" s="5">
        <v>7000</v>
      </c>
    </row>
    <row r="6" spans="3:6" ht="15.6" customHeight="1" x14ac:dyDescent="0.3">
      <c r="C6" s="5" t="s">
        <v>4</v>
      </c>
      <c r="D6" s="6" t="s">
        <v>12</v>
      </c>
      <c r="E6" s="5">
        <v>2</v>
      </c>
      <c r="F6" s="15">
        <v>2</v>
      </c>
    </row>
    <row r="7" spans="3:6" ht="15.6" customHeight="1" x14ac:dyDescent="0.3">
      <c r="C7" s="5" t="s">
        <v>5</v>
      </c>
      <c r="D7" s="6" t="s">
        <v>13</v>
      </c>
      <c r="E7" s="5">
        <v>6</v>
      </c>
      <c r="F7" s="15">
        <v>40</v>
      </c>
    </row>
    <row r="8" spans="3:6" ht="15.6" customHeight="1" x14ac:dyDescent="0.3">
      <c r="C8" s="5" t="s">
        <v>6</v>
      </c>
      <c r="D8" s="6" t="s">
        <v>14</v>
      </c>
      <c r="E8" s="5">
        <v>350</v>
      </c>
      <c r="F8" s="16">
        <f>E8*E7/F7</f>
        <v>52.5</v>
      </c>
    </row>
    <row r="9" spans="3:6" ht="15.6" customHeight="1" x14ac:dyDescent="0.3">
      <c r="C9" s="5"/>
      <c r="D9" s="6" t="s">
        <v>35</v>
      </c>
      <c r="E9" s="5">
        <v>18</v>
      </c>
      <c r="F9" s="5">
        <v>168</v>
      </c>
    </row>
    <row r="10" spans="3:6" ht="15.6" customHeight="1" x14ac:dyDescent="0.3">
      <c r="C10" s="5"/>
      <c r="D10" s="6" t="s">
        <v>41</v>
      </c>
      <c r="E10" s="5">
        <v>1</v>
      </c>
      <c r="F10" s="5">
        <v>1</v>
      </c>
    </row>
    <row r="11" spans="3:6" ht="15.6" customHeight="1" x14ac:dyDescent="0.3">
      <c r="C11" s="5" t="s">
        <v>20</v>
      </c>
      <c r="D11" s="6"/>
      <c r="E11" s="5" t="s">
        <v>21</v>
      </c>
      <c r="F11" s="5" t="s">
        <v>21</v>
      </c>
    </row>
    <row r="12" spans="3:6" ht="15.6" customHeight="1" x14ac:dyDescent="0.3">
      <c r="C12" s="5" t="s">
        <v>7</v>
      </c>
      <c r="D12" s="6"/>
      <c r="E12" s="5" t="s">
        <v>0</v>
      </c>
      <c r="F12" s="5" t="s">
        <v>1</v>
      </c>
    </row>
    <row r="13" spans="3:6" ht="15.6" customHeight="1" x14ac:dyDescent="0.3">
      <c r="C13" s="5" t="s">
        <v>15</v>
      </c>
      <c r="D13" s="6" t="s">
        <v>16</v>
      </c>
      <c r="E13" s="5">
        <v>1.37</v>
      </c>
      <c r="F13" s="5">
        <v>0.3</v>
      </c>
    </row>
    <row r="14" spans="3:6" ht="15.6" customHeight="1" x14ac:dyDescent="0.3">
      <c r="C14" s="11"/>
      <c r="D14" s="12"/>
      <c r="E14" s="11"/>
      <c r="F14" s="11"/>
    </row>
    <row r="15" spans="3:6" ht="15.6" customHeight="1" x14ac:dyDescent="0.3">
      <c r="C15" s="17" t="s">
        <v>59</v>
      </c>
      <c r="D15" s="18"/>
      <c r="E15" s="19"/>
      <c r="F15" s="20"/>
    </row>
    <row r="16" spans="3:6" ht="15.6" customHeight="1" x14ac:dyDescent="0.3">
      <c r="C16" s="41" t="s">
        <v>22</v>
      </c>
      <c r="D16" s="41"/>
      <c r="E16" s="25" t="s">
        <v>8</v>
      </c>
      <c r="F16" s="25" t="s">
        <v>9</v>
      </c>
    </row>
    <row r="17" spans="3:7" ht="15.6" customHeight="1" x14ac:dyDescent="0.3">
      <c r="C17" s="5" t="s">
        <v>23</v>
      </c>
      <c r="D17" s="6" t="s">
        <v>25</v>
      </c>
      <c r="E17" s="5">
        <v>3</v>
      </c>
      <c r="F17" s="5">
        <v>20.350999999999999</v>
      </c>
    </row>
    <row r="18" spans="3:7" ht="15.6" customHeight="1" x14ac:dyDescent="0.3">
      <c r="C18" s="5"/>
      <c r="D18" s="6" t="s">
        <v>24</v>
      </c>
      <c r="E18" s="5">
        <v>2</v>
      </c>
      <c r="F18" s="5">
        <v>607.29999999999995</v>
      </c>
    </row>
    <row r="19" spans="3:7" ht="15.6" customHeight="1" x14ac:dyDescent="0.3">
      <c r="C19" s="5"/>
      <c r="D19" s="6" t="s">
        <v>26</v>
      </c>
      <c r="E19" s="5">
        <f>E5-E18</f>
        <v>13</v>
      </c>
      <c r="F19" s="7">
        <f>F5-F18</f>
        <v>6392.7</v>
      </c>
    </row>
    <row r="20" spans="3:7" ht="15.6" customHeight="1" x14ac:dyDescent="0.3">
      <c r="C20" s="5"/>
      <c r="D20" s="6" t="s">
        <v>28</v>
      </c>
      <c r="E20" s="5">
        <f>E19*231</f>
        <v>3003</v>
      </c>
      <c r="F20" s="7">
        <f>F19*231</f>
        <v>1476713.7</v>
      </c>
    </row>
    <row r="21" spans="3:7" ht="15.6" customHeight="1" x14ac:dyDescent="0.3">
      <c r="C21" s="5"/>
      <c r="D21" s="6" t="s">
        <v>27</v>
      </c>
      <c r="E21" s="8">
        <f>E20*4/(PI()*E4^2)</f>
        <v>11.801044298887945</v>
      </c>
      <c r="F21" s="8">
        <f>F20*4/(PI()*F4^2)</f>
        <v>130.57015827029011</v>
      </c>
    </row>
    <row r="22" spans="3:7" ht="15.6" customHeight="1" x14ac:dyDescent="0.3">
      <c r="C22" s="5"/>
      <c r="D22" s="6" t="s">
        <v>29</v>
      </c>
      <c r="E22" s="8">
        <f>E17+E21</f>
        <v>14.801044298887945</v>
      </c>
      <c r="F22" s="8">
        <f>F17+F21</f>
        <v>150.92115827029011</v>
      </c>
    </row>
    <row r="23" spans="3:7" ht="15.6" customHeight="1" x14ac:dyDescent="0.3">
      <c r="C23" s="5"/>
      <c r="D23" s="6" t="s">
        <v>30</v>
      </c>
      <c r="E23" s="9">
        <v>0.1</v>
      </c>
      <c r="F23" s="9">
        <v>0.1</v>
      </c>
      <c r="G23" s="2" t="s">
        <v>31</v>
      </c>
    </row>
    <row r="24" spans="3:7" ht="15.6" customHeight="1" x14ac:dyDescent="0.3">
      <c r="C24" s="5"/>
      <c r="D24" s="6" t="s">
        <v>34</v>
      </c>
      <c r="E24" s="8">
        <f>E22*(1+E23)</f>
        <v>16.281148728776742</v>
      </c>
      <c r="F24" s="8">
        <f>F22*(1+F23)</f>
        <v>166.01327409731914</v>
      </c>
    </row>
    <row r="25" spans="3:7" ht="15.6" customHeight="1" x14ac:dyDescent="0.3">
      <c r="C25" s="5"/>
      <c r="D25" s="6" t="s">
        <v>36</v>
      </c>
      <c r="E25" s="8" t="str">
        <f>IF(E24&lt;E9,"Sufficient","Not sufficient")</f>
        <v>Sufficient</v>
      </c>
      <c r="F25" s="8" t="str">
        <f>IF(F24&lt;F9,"Sufficient","Not sufficient")</f>
        <v>Sufficient</v>
      </c>
      <c r="G25" s="10" t="s">
        <v>37</v>
      </c>
    </row>
    <row r="26" spans="3:7" ht="15.6" customHeight="1" x14ac:dyDescent="0.3">
      <c r="C26" s="5"/>
      <c r="D26" s="6" t="s">
        <v>39</v>
      </c>
      <c r="E26" s="13">
        <f>E24/E4</f>
        <v>0.90450826270981899</v>
      </c>
      <c r="F26" s="13">
        <f>F24/F4</f>
        <v>1.3834439508109928</v>
      </c>
      <c r="G26" s="10" t="s">
        <v>40</v>
      </c>
    </row>
    <row r="27" spans="3:7" ht="15.6" customHeight="1" x14ac:dyDescent="0.3">
      <c r="C27" s="11"/>
      <c r="D27" s="12"/>
      <c r="E27" s="14"/>
      <c r="F27" s="14"/>
    </row>
    <row r="28" spans="3:7" ht="15.6" customHeight="1" x14ac:dyDescent="0.3">
      <c r="C28" s="17" t="s">
        <v>60</v>
      </c>
      <c r="D28" s="18"/>
      <c r="E28" s="19"/>
      <c r="F28" s="20"/>
    </row>
    <row r="29" spans="3:7" ht="15.6" customHeight="1" x14ac:dyDescent="0.3">
      <c r="C29" s="41" t="s">
        <v>22</v>
      </c>
      <c r="D29" s="41"/>
      <c r="E29" s="25" t="s">
        <v>8</v>
      </c>
      <c r="F29" s="25" t="s">
        <v>9</v>
      </c>
    </row>
    <row r="30" spans="3:7" ht="15.6" customHeight="1" x14ac:dyDescent="0.3">
      <c r="C30" s="5"/>
      <c r="D30" s="6" t="s">
        <v>42</v>
      </c>
      <c r="E30" s="13">
        <f>E13*E10*E8^3*E7^5/(15240000000000)</f>
        <v>2.9970637795275593E-2</v>
      </c>
      <c r="F30" s="13">
        <f>F13*F10*F8^3*F7^5/(15240000000000)</f>
        <v>0.29168503937007872</v>
      </c>
    </row>
    <row r="31" spans="3:7" ht="15.6" customHeight="1" x14ac:dyDescent="0.3">
      <c r="C31" s="5"/>
      <c r="D31" s="6" t="s">
        <v>43</v>
      </c>
      <c r="E31" s="13">
        <f>E30*E6</f>
        <v>5.9941275590551187E-2</v>
      </c>
      <c r="F31" s="13">
        <f>F30*F6</f>
        <v>0.58337007874015745</v>
      </c>
    </row>
    <row r="32" spans="3:7" ht="15.6" customHeight="1" x14ac:dyDescent="0.3">
      <c r="C32" s="5"/>
      <c r="D32" s="6" t="s">
        <v>44</v>
      </c>
      <c r="E32" s="13">
        <f>E31/E5*1000</f>
        <v>3.9960850393700791</v>
      </c>
      <c r="F32" s="13">
        <f>F31/F5*1000</f>
        <v>8.333858267716536E-2</v>
      </c>
    </row>
    <row r="33" spans="3:9" ht="15.6" customHeight="1" x14ac:dyDescent="0.3">
      <c r="C33" s="5"/>
      <c r="D33" s="6" t="s">
        <v>45</v>
      </c>
      <c r="E33" s="13">
        <f>63025*E31/E8</f>
        <v>10.793711125984252</v>
      </c>
      <c r="F33" s="13">
        <f>63025*F31/F8</f>
        <v>700.3218897637795</v>
      </c>
    </row>
    <row r="34" spans="3:9" ht="15.6" customHeight="1" x14ac:dyDescent="0.3">
      <c r="C34" s="5"/>
      <c r="D34" s="6" t="s">
        <v>47</v>
      </c>
      <c r="E34" s="7">
        <f>E33/E5*1000</f>
        <v>719.58074173228351</v>
      </c>
      <c r="F34" s="7">
        <f>F33/F5*1000</f>
        <v>100.04598425196851</v>
      </c>
    </row>
    <row r="35" spans="3:9" ht="15.6" customHeight="1" x14ac:dyDescent="0.3">
      <c r="C35" s="5"/>
      <c r="D35" s="6" t="s">
        <v>46</v>
      </c>
      <c r="E35" s="13"/>
      <c r="F35" s="22">
        <f>F32/E32</f>
        <v>2.0855057351407715E-2</v>
      </c>
      <c r="G35" s="2" t="s">
        <v>52</v>
      </c>
    </row>
    <row r="36" spans="3:9" ht="15.6" customHeight="1" x14ac:dyDescent="0.3">
      <c r="C36" s="5"/>
      <c r="D36" s="6" t="s">
        <v>48</v>
      </c>
      <c r="E36" s="13"/>
      <c r="F36" s="22">
        <f>F34/E34</f>
        <v>0.13903371567605144</v>
      </c>
      <c r="G36" s="2" t="s">
        <v>57</v>
      </c>
    </row>
    <row r="37" spans="3:9" ht="15.6" customHeight="1" x14ac:dyDescent="0.3">
      <c r="C37" s="11"/>
      <c r="D37" s="12"/>
      <c r="E37" s="14"/>
      <c r="F37" s="14"/>
    </row>
    <row r="38" spans="3:9" ht="15.6" customHeight="1" x14ac:dyDescent="0.3">
      <c r="C38" s="17" t="s">
        <v>61</v>
      </c>
      <c r="D38" s="18"/>
      <c r="E38" s="19"/>
      <c r="F38" s="20"/>
      <c r="G38" s="2" t="s">
        <v>54</v>
      </c>
    </row>
    <row r="39" spans="3:9" ht="15.6" customHeight="1" x14ac:dyDescent="0.3">
      <c r="C39" s="41" t="s">
        <v>22</v>
      </c>
      <c r="D39" s="41"/>
      <c r="E39" s="25" t="s">
        <v>8</v>
      </c>
      <c r="F39" s="25" t="s">
        <v>9</v>
      </c>
    </row>
    <row r="40" spans="3:9" ht="15.6" customHeight="1" x14ac:dyDescent="0.3">
      <c r="C40" s="5" t="s">
        <v>2</v>
      </c>
      <c r="D40" s="6" t="s">
        <v>10</v>
      </c>
      <c r="E40" s="7">
        <f>E4</f>
        <v>18</v>
      </c>
      <c r="F40" s="7">
        <f>F4</f>
        <v>120</v>
      </c>
    </row>
    <row r="41" spans="3:9" ht="15.6" customHeight="1" x14ac:dyDescent="0.3">
      <c r="C41" s="5" t="s">
        <v>5</v>
      </c>
      <c r="D41" s="6" t="s">
        <v>13</v>
      </c>
      <c r="E41" s="7">
        <f>E7</f>
        <v>6</v>
      </c>
      <c r="F41" s="16">
        <f>F40/E40*E41</f>
        <v>40</v>
      </c>
    </row>
    <row r="42" spans="3:9" ht="15.6" customHeight="1" x14ac:dyDescent="0.3">
      <c r="C42" s="5" t="s">
        <v>6</v>
      </c>
      <c r="D42" s="6" t="s">
        <v>14</v>
      </c>
      <c r="E42" s="5">
        <v>350</v>
      </c>
      <c r="F42" s="16">
        <f>E42*E41/F41</f>
        <v>52.5</v>
      </c>
      <c r="H42" s="2">
        <v>4444</v>
      </c>
      <c r="I42" s="2" t="s">
        <v>102</v>
      </c>
    </row>
    <row r="43" spans="3:9" ht="15.6" customHeight="1" x14ac:dyDescent="0.3">
      <c r="C43" s="5"/>
      <c r="D43" s="6" t="s">
        <v>34</v>
      </c>
      <c r="E43" s="8">
        <f>E24</f>
        <v>16.281148728776742</v>
      </c>
      <c r="F43" s="23">
        <f>F40/E40*E43</f>
        <v>108.54099152517828</v>
      </c>
      <c r="H43" s="2">
        <f>H42*100/110</f>
        <v>4040</v>
      </c>
      <c r="I43" s="2" t="s">
        <v>102</v>
      </c>
    </row>
    <row r="44" spans="3:9" ht="15.6" customHeight="1" x14ac:dyDescent="0.3">
      <c r="C44" s="5"/>
      <c r="D44" s="6" t="s">
        <v>11</v>
      </c>
      <c r="E44" s="7">
        <f>E5</f>
        <v>15</v>
      </c>
      <c r="F44" s="7">
        <f>PI()/4*F40^2*(F43-F17)/231</f>
        <v>4317.7718882438376</v>
      </c>
      <c r="H44" s="2">
        <f>H43-F18</f>
        <v>3432.7</v>
      </c>
      <c r="I44" s="2" t="s">
        <v>102</v>
      </c>
    </row>
    <row r="45" spans="3:9" ht="15.6" customHeight="1" x14ac:dyDescent="0.3">
      <c r="C45" s="11"/>
      <c r="D45" s="12"/>
      <c r="E45" s="14"/>
      <c r="F45" s="14"/>
      <c r="H45" s="2">
        <f>H44*231</f>
        <v>792953.7</v>
      </c>
      <c r="I45" s="24" t="s">
        <v>103</v>
      </c>
    </row>
    <row r="46" spans="3:9" ht="15.6" customHeight="1" x14ac:dyDescent="0.3">
      <c r="C46" s="5" t="s">
        <v>7</v>
      </c>
      <c r="D46" s="6"/>
      <c r="E46" s="5" t="s">
        <v>0</v>
      </c>
      <c r="F46" s="5" t="s">
        <v>0</v>
      </c>
      <c r="H46" s="2">
        <f>H45*4/(PI()*F40^2)</f>
        <v>70.1125005544488</v>
      </c>
      <c r="I46" s="24"/>
    </row>
    <row r="47" spans="3:9" ht="15.6" customHeight="1" x14ac:dyDescent="0.3">
      <c r="C47" s="5" t="s">
        <v>15</v>
      </c>
      <c r="D47" s="6" t="s">
        <v>16</v>
      </c>
      <c r="E47" s="5">
        <v>1.37</v>
      </c>
      <c r="F47" s="5">
        <v>1.37</v>
      </c>
      <c r="I47" s="24"/>
    </row>
    <row r="48" spans="3:9" ht="15.6" customHeight="1" x14ac:dyDescent="0.3">
      <c r="C48" s="5"/>
      <c r="D48" s="6" t="s">
        <v>56</v>
      </c>
      <c r="E48" s="13">
        <f>PI()*E41*E42/12</f>
        <v>549.77871437821375</v>
      </c>
      <c r="F48" s="7">
        <f>PI()*F41*F42/12</f>
        <v>549.77871437821375</v>
      </c>
    </row>
    <row r="49" spans="3:7" ht="15.6" customHeight="1" x14ac:dyDescent="0.3">
      <c r="C49" s="5"/>
      <c r="D49" s="6" t="s">
        <v>43</v>
      </c>
      <c r="E49" s="13">
        <f>E13*E10*E8^3*E7^5*E6/(15240000000000)</f>
        <v>5.9941275590551187E-2</v>
      </c>
      <c r="F49" s="13">
        <f>F47*F10*F42^3*F41^5*F6/(15240000000000)</f>
        <v>2.6640566929133862</v>
      </c>
    </row>
    <row r="50" spans="3:7" ht="15.6" customHeight="1" x14ac:dyDescent="0.3">
      <c r="C50" s="5"/>
      <c r="D50" s="6" t="s">
        <v>44</v>
      </c>
      <c r="E50" s="13">
        <f>E49/E44*1000</f>
        <v>3.9960850393700791</v>
      </c>
      <c r="F50" s="13">
        <f>F49/F44*1000</f>
        <v>0.61699801700199008</v>
      </c>
      <c r="G50" s="2" t="s">
        <v>66</v>
      </c>
    </row>
    <row r="51" spans="3:7" ht="15.6" customHeight="1" x14ac:dyDescent="0.3">
      <c r="C51" s="5"/>
      <c r="D51" s="6" t="s">
        <v>45</v>
      </c>
      <c r="E51" s="13">
        <f>63025*E49/E8</f>
        <v>10.793711125984252</v>
      </c>
      <c r="F51" s="7">
        <f>63025*F49/F42</f>
        <v>3198.1366299212605</v>
      </c>
    </row>
    <row r="52" spans="3:7" ht="15.6" customHeight="1" x14ac:dyDescent="0.3">
      <c r="C52" s="5"/>
      <c r="D52" s="6" t="s">
        <v>47</v>
      </c>
      <c r="E52" s="7">
        <f>E51/E5*1000</f>
        <v>719.58074173228351</v>
      </c>
      <c r="F52" s="7">
        <f>F51/F44*1000</f>
        <v>740.69142898191285</v>
      </c>
    </row>
    <row r="53" spans="3:7" ht="15.6" customHeight="1" x14ac:dyDescent="0.3">
      <c r="C53" s="5"/>
      <c r="D53" s="6" t="s">
        <v>46</v>
      </c>
      <c r="E53" s="13"/>
      <c r="F53" s="22">
        <f>F50/E50</f>
        <v>0.15440062233992155</v>
      </c>
    </row>
    <row r="54" spans="3:7" ht="15.6" customHeight="1" x14ac:dyDescent="0.3">
      <c r="C54" s="5"/>
      <c r="D54" s="6" t="s">
        <v>48</v>
      </c>
      <c r="E54" s="13"/>
      <c r="F54" s="22">
        <f>F52/E52</f>
        <v>1.0293374822661436</v>
      </c>
    </row>
    <row r="55" spans="3:7" ht="15.6" customHeight="1" x14ac:dyDescent="0.3">
      <c r="C55" s="11"/>
      <c r="D55" s="12"/>
      <c r="E55" s="14"/>
      <c r="F55" s="21"/>
    </row>
    <row r="56" spans="3:7" ht="15.6" customHeight="1" x14ac:dyDescent="0.3">
      <c r="C56" s="17" t="s">
        <v>62</v>
      </c>
      <c r="D56" s="18"/>
      <c r="E56" s="19"/>
      <c r="F56" s="20"/>
    </row>
    <row r="57" spans="3:7" ht="15.6" customHeight="1" x14ac:dyDescent="0.3">
      <c r="C57" s="41" t="s">
        <v>22</v>
      </c>
      <c r="D57" s="41"/>
      <c r="E57" s="25" t="s">
        <v>8</v>
      </c>
      <c r="F57" s="25" t="s">
        <v>9</v>
      </c>
    </row>
    <row r="58" spans="3:7" ht="15.6" customHeight="1" x14ac:dyDescent="0.3">
      <c r="C58" s="27" t="s">
        <v>63</v>
      </c>
      <c r="D58" s="26"/>
      <c r="E58" s="7" t="s">
        <v>64</v>
      </c>
      <c r="F58" s="7" t="str">
        <f>IF(F44&gt;=F5,"SATISFIED","NOT SATIESFIED")</f>
        <v>NOT SATIESFIED</v>
      </c>
    </row>
    <row r="59" spans="3:7" ht="15.6" customHeight="1" x14ac:dyDescent="0.3">
      <c r="C59" s="5"/>
      <c r="D59" s="6" t="s">
        <v>65</v>
      </c>
      <c r="E59" s="7">
        <f>E49/E44*1000</f>
        <v>3.9960850393700791</v>
      </c>
      <c r="F59" s="13">
        <f>1000*F49/F5</f>
        <v>0.38057952755905516</v>
      </c>
      <c r="G59" s="2" t="s">
        <v>67</v>
      </c>
    </row>
    <row r="60" spans="3:7" ht="15.6" customHeight="1" x14ac:dyDescent="0.3">
      <c r="C60" s="5"/>
      <c r="D60" s="6" t="s">
        <v>47</v>
      </c>
      <c r="E60" s="7">
        <f>E51/E5*1000</f>
        <v>719.58074173228351</v>
      </c>
      <c r="F60" s="8">
        <f>F51/F5*1000</f>
        <v>456.87666141732291</v>
      </c>
      <c r="G60" s="2" t="s">
        <v>67</v>
      </c>
    </row>
    <row r="61" spans="3:7" ht="15.6" customHeight="1" x14ac:dyDescent="0.3">
      <c r="C61" s="5"/>
      <c r="D61" s="6" t="s">
        <v>46</v>
      </c>
      <c r="E61" s="13"/>
      <c r="F61" s="40">
        <f>F59/E59</f>
        <v>9.5238095238095247E-2</v>
      </c>
    </row>
    <row r="62" spans="3:7" ht="15.6" customHeight="1" x14ac:dyDescent="0.3">
      <c r="C62" s="5"/>
      <c r="D62" s="6" t="s">
        <v>48</v>
      </c>
      <c r="E62" s="13"/>
      <c r="F62" s="31">
        <f>F60/E60</f>
        <v>0.634920634920635</v>
      </c>
      <c r="G62" s="10"/>
    </row>
    <row r="63" spans="3:7" ht="15.6" customHeight="1" x14ac:dyDescent="0.3">
      <c r="C63" s="11"/>
      <c r="D63" s="12"/>
      <c r="E63" s="28"/>
      <c r="F63" s="29"/>
    </row>
    <row r="64" spans="3:7" ht="15.6" customHeight="1" x14ac:dyDescent="0.3">
      <c r="C64" s="17" t="s">
        <v>68</v>
      </c>
      <c r="D64" s="18"/>
      <c r="E64" s="19"/>
      <c r="F64" s="20"/>
    </row>
    <row r="65" spans="3:7" ht="15.6" customHeight="1" x14ac:dyDescent="0.3">
      <c r="C65" s="41" t="s">
        <v>22</v>
      </c>
      <c r="D65" s="41"/>
      <c r="E65" s="25" t="s">
        <v>8</v>
      </c>
      <c r="F65" s="25" t="s">
        <v>9</v>
      </c>
    </row>
    <row r="66" spans="3:7" ht="15.6" customHeight="1" x14ac:dyDescent="0.3">
      <c r="C66" s="5"/>
      <c r="D66" s="6" t="s">
        <v>47</v>
      </c>
      <c r="E66" s="7">
        <f>E51/E5*1000</f>
        <v>719.58074173228351</v>
      </c>
      <c r="F66" s="7">
        <f>E66</f>
        <v>719.58074173228351</v>
      </c>
      <c r="G66" s="2" t="s">
        <v>69</v>
      </c>
    </row>
    <row r="67" spans="3:7" ht="15.6" customHeight="1" x14ac:dyDescent="0.3">
      <c r="C67" s="5"/>
      <c r="D67" s="6" t="s">
        <v>45</v>
      </c>
      <c r="E67" s="7" t="s">
        <v>64</v>
      </c>
      <c r="F67" s="8">
        <f>F66*F5/1000</f>
        <v>5037.0651921259841</v>
      </c>
      <c r="G67" s="2" t="s">
        <v>70</v>
      </c>
    </row>
    <row r="68" spans="3:7" ht="15.6" customHeight="1" x14ac:dyDescent="0.3">
      <c r="C68" s="5"/>
      <c r="D68" s="6" t="s">
        <v>71</v>
      </c>
      <c r="E68" s="7" t="s">
        <v>64</v>
      </c>
      <c r="F68" s="8">
        <f>(241800000*F67/(F6*F47*F10*F41^5))^0.5</f>
        <v>65.885777364978026</v>
      </c>
      <c r="G68" s="2" t="s">
        <v>72</v>
      </c>
    </row>
    <row r="69" spans="3:7" ht="15.6" customHeight="1" x14ac:dyDescent="0.3">
      <c r="C69" s="5"/>
      <c r="D69" s="6" t="s">
        <v>43</v>
      </c>
      <c r="E69" s="7"/>
      <c r="F69" s="8">
        <f>F6*F47*F10*F68^3*F41^5/(15240000000000)</f>
        <v>5.2655116218890168</v>
      </c>
    </row>
    <row r="70" spans="3:7" ht="15.6" customHeight="1" x14ac:dyDescent="0.3">
      <c r="C70" s="5"/>
      <c r="D70" s="6" t="s">
        <v>44</v>
      </c>
      <c r="E70" s="7"/>
      <c r="F70" s="8">
        <f>F69*1000/F5</f>
        <v>0.75221594598414532</v>
      </c>
    </row>
    <row r="71" spans="3:7" ht="15.6" customHeight="1" x14ac:dyDescent="0.3">
      <c r="C71" s="5"/>
      <c r="D71" s="6" t="s">
        <v>73</v>
      </c>
      <c r="E71" s="7"/>
      <c r="F71" s="8">
        <f>PI()*F68*F41/12</f>
        <v>689.95424715289209</v>
      </c>
    </row>
    <row r="72" spans="3:7" ht="15.6" customHeight="1" x14ac:dyDescent="0.3">
      <c r="C72" s="11"/>
      <c r="D72" s="12"/>
      <c r="E72" s="28"/>
      <c r="F72" s="29"/>
    </row>
    <row r="73" spans="3:7" ht="30" customHeight="1" x14ac:dyDescent="0.3">
      <c r="C73" s="42" t="s">
        <v>74</v>
      </c>
      <c r="D73" s="43"/>
      <c r="E73" s="43"/>
      <c r="F73" s="44"/>
      <c r="G73" s="10" t="s">
        <v>75</v>
      </c>
    </row>
    <row r="74" spans="3:7" ht="15.6" customHeight="1" x14ac:dyDescent="0.3">
      <c r="C74" s="41" t="s">
        <v>22</v>
      </c>
      <c r="D74" s="41"/>
      <c r="E74" s="25" t="s">
        <v>8</v>
      </c>
      <c r="F74" s="25" t="s">
        <v>9</v>
      </c>
    </row>
    <row r="75" spans="3:7" ht="15.6" customHeight="1" x14ac:dyDescent="0.3">
      <c r="C75" s="5"/>
      <c r="D75" s="6" t="s">
        <v>77</v>
      </c>
      <c r="E75" s="7" t="s">
        <v>64</v>
      </c>
      <c r="F75" s="7">
        <f>F41*(F5/F44)^(1/3)</f>
        <v>46.990071573037511</v>
      </c>
      <c r="G75" s="10" t="s">
        <v>76</v>
      </c>
    </row>
    <row r="76" spans="3:7" ht="15.6" customHeight="1" x14ac:dyDescent="0.3">
      <c r="C76" s="5"/>
      <c r="D76" s="6" t="s">
        <v>78</v>
      </c>
      <c r="E76" s="7" t="s">
        <v>64</v>
      </c>
      <c r="F76" s="8">
        <f>F42*(F41/F75)</f>
        <v>44.690291580763656</v>
      </c>
      <c r="G76" s="10" t="s">
        <v>79</v>
      </c>
    </row>
    <row r="77" spans="3:7" ht="15.6" customHeight="1" x14ac:dyDescent="0.3">
      <c r="C77" s="5"/>
      <c r="D77" s="6" t="s">
        <v>43</v>
      </c>
      <c r="E77" s="7" t="s">
        <v>64</v>
      </c>
      <c r="F77" s="13">
        <f>F6*F47*F10*F75^3*F76^5/(1.524*10^13)</f>
        <v>3.3254456667345544</v>
      </c>
      <c r="G77" s="10"/>
    </row>
    <row r="78" spans="3:7" ht="15.6" customHeight="1" x14ac:dyDescent="0.3">
      <c r="C78" s="5"/>
      <c r="D78" s="6" t="s">
        <v>44</v>
      </c>
      <c r="E78" s="7" t="s">
        <v>64</v>
      </c>
      <c r="F78" s="8">
        <f>F77*1000/F5</f>
        <v>0.4750636666763649</v>
      </c>
      <c r="G78" s="10"/>
    </row>
    <row r="79" spans="3:7" ht="15.6" customHeight="1" x14ac:dyDescent="0.3">
      <c r="C79" s="5"/>
      <c r="D79" s="6" t="s">
        <v>45</v>
      </c>
      <c r="E79" s="7" t="s">
        <v>64</v>
      </c>
      <c r="F79" s="8">
        <f>63025*F77/F76</f>
        <v>4689.7481697380308</v>
      </c>
      <c r="G79" s="10"/>
    </row>
    <row r="80" spans="3:7" ht="15.6" customHeight="1" x14ac:dyDescent="0.3">
      <c r="C80" s="5"/>
      <c r="D80" s="6" t="s">
        <v>47</v>
      </c>
      <c r="E80" s="7">
        <f>E34</f>
        <v>719.58074173228351</v>
      </c>
      <c r="F80" s="8">
        <f>F79*1000/F5</f>
        <v>669.96402424829012</v>
      </c>
      <c r="G80" s="10"/>
    </row>
    <row r="81" spans="3:7" ht="15.6" customHeight="1" x14ac:dyDescent="0.3">
      <c r="C81" s="5"/>
      <c r="D81" s="6" t="s">
        <v>73</v>
      </c>
      <c r="E81" s="7">
        <f>E48</f>
        <v>549.77871437821375</v>
      </c>
      <c r="F81" s="7">
        <f>PI()*F76*F75/12</f>
        <v>549.77871437821375</v>
      </c>
      <c r="G81" s="10"/>
    </row>
    <row r="82" spans="3:7" ht="15.6" customHeight="1" x14ac:dyDescent="0.3">
      <c r="C82" s="33"/>
      <c r="D82" s="34"/>
      <c r="E82" s="35"/>
      <c r="F82" s="36"/>
    </row>
    <row r="83" spans="3:7" ht="15.6" customHeight="1" x14ac:dyDescent="0.3">
      <c r="C83" s="42" t="s">
        <v>80</v>
      </c>
      <c r="D83" s="43"/>
      <c r="E83" s="43"/>
      <c r="F83" s="44"/>
    </row>
    <row r="84" spans="3:7" ht="15.6" customHeight="1" x14ac:dyDescent="0.3">
      <c r="C84" s="41" t="s">
        <v>22</v>
      </c>
      <c r="D84" s="41"/>
      <c r="E84" s="25" t="s">
        <v>8</v>
      </c>
      <c r="F84" s="25" t="s">
        <v>9</v>
      </c>
    </row>
    <row r="85" spans="3:7" ht="15.6" customHeight="1" x14ac:dyDescent="0.3">
      <c r="C85" s="5"/>
      <c r="D85" s="6" t="s">
        <v>81</v>
      </c>
      <c r="E85" s="7" t="s">
        <v>64</v>
      </c>
      <c r="F85" s="7">
        <f>F44</f>
        <v>4317.7718882438376</v>
      </c>
      <c r="G85" s="10" t="s">
        <v>86</v>
      </c>
    </row>
    <row r="86" spans="3:7" ht="15.6" customHeight="1" x14ac:dyDescent="0.3">
      <c r="C86" s="5"/>
      <c r="D86" s="6" t="s">
        <v>82</v>
      </c>
      <c r="E86" s="7" t="s">
        <v>64</v>
      </c>
      <c r="F86" s="7">
        <f>F5</f>
        <v>7000</v>
      </c>
    </row>
    <row r="87" spans="3:7" ht="15.6" customHeight="1" x14ac:dyDescent="0.3">
      <c r="C87" s="5"/>
      <c r="D87" s="6" t="s">
        <v>83</v>
      </c>
      <c r="E87" s="7" t="s">
        <v>64</v>
      </c>
      <c r="F87" s="13">
        <f>ROUNDDOWN(F86/F85,1)</f>
        <v>1.6</v>
      </c>
    </row>
    <row r="88" spans="3:7" ht="15.6" customHeight="1" x14ac:dyDescent="0.3">
      <c r="C88" s="5"/>
      <c r="D88" s="6" t="s">
        <v>84</v>
      </c>
      <c r="E88" s="7" t="s">
        <v>64</v>
      </c>
      <c r="F88" s="7">
        <f>ROUNDDOWN(F87*F6,0)</f>
        <v>3</v>
      </c>
    </row>
    <row r="89" spans="3:7" ht="15.6" customHeight="1" x14ac:dyDescent="0.3">
      <c r="C89" s="5"/>
      <c r="D89" s="6" t="s">
        <v>43</v>
      </c>
      <c r="E89" s="7" t="s">
        <v>64</v>
      </c>
      <c r="F89" s="13">
        <f>F88*F47*F10*F42^3*F41^5/(1.524*10^13)</f>
        <v>3.9960850393700786</v>
      </c>
      <c r="G89" s="10" t="s">
        <v>85</v>
      </c>
    </row>
    <row r="90" spans="3:7" ht="15.6" customHeight="1" x14ac:dyDescent="0.3">
      <c r="C90" s="5"/>
      <c r="D90" s="6" t="s">
        <v>44</v>
      </c>
      <c r="E90" s="7" t="s">
        <v>64</v>
      </c>
      <c r="F90" s="13">
        <f>F89*1000/F5</f>
        <v>0.57086929133858266</v>
      </c>
    </row>
    <row r="91" spans="3:7" ht="15.6" customHeight="1" x14ac:dyDescent="0.3">
      <c r="C91" s="5"/>
      <c r="D91" s="6" t="s">
        <v>45</v>
      </c>
      <c r="E91" s="7" t="s">
        <v>64</v>
      </c>
      <c r="F91" s="7">
        <f>63025*F89/F42</f>
        <v>4797.2049448818898</v>
      </c>
    </row>
    <row r="92" spans="3:7" ht="15.6" customHeight="1" x14ac:dyDescent="0.3">
      <c r="C92" s="5"/>
      <c r="D92" s="6" t="s">
        <v>47</v>
      </c>
      <c r="E92" s="7" t="s">
        <v>64</v>
      </c>
      <c r="F92" s="7">
        <f>F91*1000/F5</f>
        <v>685.3149921259843</v>
      </c>
    </row>
    <row r="93" spans="3:7" ht="15.6" customHeight="1" x14ac:dyDescent="0.3">
      <c r="C93" s="5"/>
      <c r="D93" s="6" t="s">
        <v>73</v>
      </c>
      <c r="E93" s="7">
        <f>E81</f>
        <v>549.77871437821375</v>
      </c>
      <c r="F93" s="7">
        <f>PI()*F76*F8/12</f>
        <v>614.24427626149384</v>
      </c>
      <c r="G93" s="10"/>
    </row>
    <row r="94" spans="3:7" ht="15.6" customHeight="1" x14ac:dyDescent="0.3">
      <c r="C94" s="11"/>
      <c r="D94" s="12"/>
      <c r="E94" s="28"/>
      <c r="F94" s="28"/>
    </row>
    <row r="95" spans="3:7" ht="15.6" customHeight="1" x14ac:dyDescent="0.3">
      <c r="C95" s="11"/>
      <c r="D95" s="12"/>
      <c r="E95" s="28"/>
      <c r="F95" s="29"/>
    </row>
    <row r="96" spans="3:7" ht="31.2" customHeight="1" x14ac:dyDescent="0.3">
      <c r="C96" s="42" t="s">
        <v>87</v>
      </c>
      <c r="D96" s="43"/>
      <c r="E96" s="43"/>
      <c r="F96" s="44"/>
    </row>
    <row r="97" spans="3:7" ht="15.6" customHeight="1" x14ac:dyDescent="0.3">
      <c r="C97" s="41" t="s">
        <v>22</v>
      </c>
      <c r="D97" s="41"/>
      <c r="E97" s="32" t="s">
        <v>8</v>
      </c>
      <c r="F97" s="32" t="s">
        <v>9</v>
      </c>
    </row>
    <row r="98" spans="3:7" ht="15.6" customHeight="1" x14ac:dyDescent="0.3">
      <c r="C98" s="5"/>
      <c r="D98" s="6" t="s">
        <v>88</v>
      </c>
      <c r="E98" s="7" t="s">
        <v>64</v>
      </c>
      <c r="F98" s="7" t="s">
        <v>1</v>
      </c>
      <c r="G98" s="10"/>
    </row>
    <row r="99" spans="3:7" ht="15.6" customHeight="1" x14ac:dyDescent="0.3">
      <c r="C99" s="5"/>
      <c r="D99" s="6" t="s">
        <v>89</v>
      </c>
      <c r="E99" s="7" t="s">
        <v>64</v>
      </c>
      <c r="F99" s="8">
        <v>0.3</v>
      </c>
    </row>
    <row r="100" spans="3:7" ht="15.6" customHeight="1" x14ac:dyDescent="0.3">
      <c r="C100" s="5"/>
      <c r="D100" s="6" t="s">
        <v>43</v>
      </c>
      <c r="E100" s="7" t="s">
        <v>64</v>
      </c>
      <c r="F100" s="13">
        <f>F88*F99*F10*F42^3*F41^5/(1.524*10^13)</f>
        <v>0.87505511811023606</v>
      </c>
    </row>
    <row r="101" spans="3:7" ht="15.6" customHeight="1" x14ac:dyDescent="0.3">
      <c r="C101" s="5"/>
      <c r="D101" s="6" t="s">
        <v>44</v>
      </c>
      <c r="E101" s="7" t="s">
        <v>64</v>
      </c>
      <c r="F101" s="37">
        <f>F100*1000/F5</f>
        <v>0.12500787401574801</v>
      </c>
    </row>
    <row r="102" spans="3:7" ht="15.6" customHeight="1" x14ac:dyDescent="0.3">
      <c r="C102" s="5"/>
      <c r="D102" s="6" t="s">
        <v>45</v>
      </c>
      <c r="E102" s="7" t="s">
        <v>64</v>
      </c>
      <c r="F102" s="7">
        <f>63025*F100/F42</f>
        <v>1050.4828346456691</v>
      </c>
      <c r="G102" s="10"/>
    </row>
    <row r="103" spans="3:7" ht="15.6" customHeight="1" x14ac:dyDescent="0.3">
      <c r="C103" s="5"/>
      <c r="D103" s="6" t="s">
        <v>47</v>
      </c>
      <c r="E103" s="7" t="s">
        <v>64</v>
      </c>
      <c r="F103" s="7">
        <f>F102*1000/F5</f>
        <v>150.06897637795271</v>
      </c>
    </row>
    <row r="104" spans="3:7" ht="15.6" customHeight="1" x14ac:dyDescent="0.3">
      <c r="C104" s="5"/>
      <c r="D104" s="6" t="s">
        <v>48</v>
      </c>
      <c r="E104" s="7" t="s">
        <v>64</v>
      </c>
      <c r="F104" s="22">
        <f>F103/E52</f>
        <v>0.20855057351407708</v>
      </c>
      <c r="G104" s="10" t="s">
        <v>90</v>
      </c>
    </row>
    <row r="105" spans="3:7" ht="15.6" customHeight="1" x14ac:dyDescent="0.3">
      <c r="C105" s="11"/>
      <c r="D105" s="12"/>
      <c r="E105" s="28"/>
      <c r="F105" s="28"/>
    </row>
    <row r="106" spans="3:7" ht="31.2" customHeight="1" x14ac:dyDescent="0.3">
      <c r="C106" s="42" t="s">
        <v>91</v>
      </c>
      <c r="D106" s="43"/>
      <c r="E106" s="43"/>
      <c r="F106" s="44"/>
    </row>
    <row r="107" spans="3:7" ht="15.6" customHeight="1" x14ac:dyDescent="0.3">
      <c r="C107" s="41" t="s">
        <v>22</v>
      </c>
      <c r="D107" s="41"/>
      <c r="E107" s="32" t="s">
        <v>8</v>
      </c>
      <c r="F107" s="32" t="s">
        <v>9</v>
      </c>
    </row>
    <row r="108" spans="3:7" ht="15.6" customHeight="1" x14ac:dyDescent="0.3">
      <c r="C108" s="5"/>
      <c r="D108" s="6" t="s">
        <v>77</v>
      </c>
      <c r="E108" s="7" t="s">
        <v>64</v>
      </c>
      <c r="F108" s="8">
        <f>F41*(F47/(2*F99))^(1/3)</f>
        <v>52.672398742314577</v>
      </c>
      <c r="G108" s="10" t="s">
        <v>92</v>
      </c>
    </row>
    <row r="109" spans="3:7" ht="15.6" customHeight="1" x14ac:dyDescent="0.3">
      <c r="C109" s="5"/>
      <c r="D109" s="6" t="s">
        <v>78</v>
      </c>
      <c r="E109" s="7" t="s">
        <v>64</v>
      </c>
      <c r="F109" s="8">
        <f>F42*(F41/F108)</f>
        <v>39.86907849543136</v>
      </c>
    </row>
    <row r="110" spans="3:7" ht="15.6" customHeight="1" x14ac:dyDescent="0.3">
      <c r="C110" s="5"/>
      <c r="D110" s="6" t="s">
        <v>43</v>
      </c>
      <c r="E110" s="7" t="s">
        <v>64</v>
      </c>
      <c r="F110" s="13">
        <f>F88*F99*F10*F109^3*F108^5/(1.524*10^13)</f>
        <v>1.5173355058006148</v>
      </c>
    </row>
    <row r="111" spans="3:7" ht="15.6" customHeight="1" x14ac:dyDescent="0.3">
      <c r="C111" s="5"/>
      <c r="D111" s="6" t="s">
        <v>44</v>
      </c>
      <c r="E111" s="7" t="s">
        <v>64</v>
      </c>
      <c r="F111" s="13">
        <f>F110*1000/F5</f>
        <v>0.21676221511437355</v>
      </c>
    </row>
    <row r="112" spans="3:7" ht="15.6" customHeight="1" x14ac:dyDescent="0.3">
      <c r="C112" s="5"/>
      <c r="D112" s="6" t="s">
        <v>45</v>
      </c>
      <c r="E112" s="7" t="s">
        <v>64</v>
      </c>
      <c r="F112" s="13">
        <f>63025*F110/F109</f>
        <v>2398.6024724409444</v>
      </c>
    </row>
    <row r="113" spans="3:7" ht="15.6" customHeight="1" x14ac:dyDescent="0.3">
      <c r="C113" s="5"/>
      <c r="D113" s="6" t="s">
        <v>47</v>
      </c>
      <c r="E113" s="7" t="s">
        <v>64</v>
      </c>
      <c r="F113" s="13">
        <f>F112*1000/F5</f>
        <v>342.6574960629921</v>
      </c>
    </row>
    <row r="114" spans="3:7" ht="15.6" customHeight="1" x14ac:dyDescent="0.3">
      <c r="C114" s="5"/>
      <c r="D114" s="6" t="s">
        <v>73</v>
      </c>
      <c r="E114" s="38">
        <f>PI()*E8*E7/12</f>
        <v>549.77871437821375</v>
      </c>
      <c r="F114" s="38">
        <f>PI()*F109*F108/12</f>
        <v>549.77871437821375</v>
      </c>
      <c r="G114" s="10" t="s">
        <v>94</v>
      </c>
    </row>
    <row r="115" spans="3:7" ht="15.6" customHeight="1" x14ac:dyDescent="0.3">
      <c r="C115" s="5"/>
      <c r="D115" s="6" t="s">
        <v>46</v>
      </c>
      <c r="E115" s="7" t="s">
        <v>64</v>
      </c>
      <c r="F115" s="31">
        <f>F111/E32</f>
        <v>5.4243644211471223E-2</v>
      </c>
    </row>
    <row r="116" spans="3:7" ht="15.6" customHeight="1" x14ac:dyDescent="0.3">
      <c r="C116" s="5"/>
      <c r="D116" s="6" t="s">
        <v>93</v>
      </c>
      <c r="E116" s="13">
        <f>E7/E4</f>
        <v>0.33333333333333331</v>
      </c>
      <c r="F116" s="13">
        <f>F108/F4</f>
        <v>0.43893665618595479</v>
      </c>
    </row>
    <row r="117" spans="3:7" ht="15.6" customHeight="1" x14ac:dyDescent="0.3">
      <c r="C117" s="5"/>
      <c r="D117" s="6" t="s">
        <v>48</v>
      </c>
      <c r="E117" s="13" t="s">
        <v>64</v>
      </c>
      <c r="F117" s="39">
        <f>F113/E34</f>
        <v>0.47619047619047611</v>
      </c>
      <c r="G117" s="10" t="s">
        <v>95</v>
      </c>
    </row>
    <row r="118" spans="3:7" ht="15.6" customHeight="1" x14ac:dyDescent="0.3">
      <c r="C118" s="5"/>
      <c r="D118" s="6"/>
      <c r="E118" s="13"/>
      <c r="F118" s="13"/>
    </row>
    <row r="119" spans="3:7" ht="15.6" customHeight="1" x14ac:dyDescent="0.3">
      <c r="C119" s="11"/>
      <c r="D119" s="12"/>
      <c r="E119" s="14"/>
      <c r="F119" s="14"/>
    </row>
    <row r="120" spans="3:7" ht="15.6" customHeight="1" x14ac:dyDescent="0.3">
      <c r="C120" s="42" t="s">
        <v>96</v>
      </c>
      <c r="D120" s="43"/>
      <c r="E120" s="43"/>
      <c r="F120" s="44"/>
    </row>
    <row r="121" spans="3:7" ht="15.6" customHeight="1" x14ac:dyDescent="0.3">
      <c r="C121" s="41" t="s">
        <v>22</v>
      </c>
      <c r="D121" s="41"/>
      <c r="E121" s="32" t="s">
        <v>97</v>
      </c>
      <c r="F121" s="32" t="s">
        <v>98</v>
      </c>
    </row>
    <row r="122" spans="3:7" ht="15.6" customHeight="1" x14ac:dyDescent="0.3">
      <c r="C122" s="5"/>
      <c r="D122" s="6" t="s">
        <v>77</v>
      </c>
      <c r="E122" s="7">
        <v>6</v>
      </c>
      <c r="F122" s="8">
        <v>7</v>
      </c>
    </row>
    <row r="123" spans="3:7" ht="15.6" customHeight="1" x14ac:dyDescent="0.3">
      <c r="C123" s="5"/>
      <c r="D123" s="6" t="s">
        <v>78</v>
      </c>
      <c r="E123" s="7">
        <v>350</v>
      </c>
      <c r="F123" s="8">
        <f>E123*E122/F122</f>
        <v>300</v>
      </c>
      <c r="G123" s="10" t="s">
        <v>99</v>
      </c>
    </row>
    <row r="124" spans="3:7" ht="15.6" customHeight="1" x14ac:dyDescent="0.3">
      <c r="C124" s="5"/>
      <c r="D124" s="6" t="s">
        <v>78</v>
      </c>
      <c r="E124" s="7">
        <v>350</v>
      </c>
      <c r="F124" s="7">
        <f>E123*(E122/F122)^(5/3)</f>
        <v>270.70112561384479</v>
      </c>
      <c r="G124" s="10" t="s">
        <v>100</v>
      </c>
    </row>
    <row r="125" spans="3:7" ht="15.6" customHeight="1" x14ac:dyDescent="0.3">
      <c r="C125" s="5"/>
      <c r="D125" s="6" t="s">
        <v>78</v>
      </c>
      <c r="E125" s="7">
        <v>350</v>
      </c>
      <c r="F125" s="7">
        <f>E123*(E122/F122)^(5/2)</f>
        <v>238.06802565579892</v>
      </c>
      <c r="G125" s="10" t="s">
        <v>101</v>
      </c>
    </row>
    <row r="126" spans="3:7" ht="15.6" customHeight="1" x14ac:dyDescent="0.3">
      <c r="C126" s="11"/>
      <c r="D126" s="12"/>
      <c r="E126" s="28"/>
      <c r="F126" s="14"/>
    </row>
    <row r="127" spans="3:7" ht="15.6" customHeight="1" x14ac:dyDescent="0.3">
      <c r="C127" s="30" t="s">
        <v>32</v>
      </c>
      <c r="D127" s="12"/>
      <c r="E127" s="28"/>
      <c r="F127" s="29"/>
    </row>
    <row r="128" spans="3:7" ht="15.6" customHeight="1" x14ac:dyDescent="0.3">
      <c r="C128" s="4" t="s">
        <v>33</v>
      </c>
    </row>
    <row r="129" spans="3:3" ht="15.6" customHeight="1" x14ac:dyDescent="0.3">
      <c r="C129" s="4" t="s">
        <v>49</v>
      </c>
    </row>
    <row r="130" spans="3:3" ht="15.6" customHeight="1" x14ac:dyDescent="0.3">
      <c r="C130" s="4" t="s">
        <v>50</v>
      </c>
    </row>
    <row r="131" spans="3:3" ht="15.6" customHeight="1" x14ac:dyDescent="0.3">
      <c r="C131" s="4" t="s">
        <v>51</v>
      </c>
    </row>
    <row r="132" spans="3:3" ht="15.6" customHeight="1" x14ac:dyDescent="0.3">
      <c r="C132" s="4" t="s">
        <v>53</v>
      </c>
    </row>
    <row r="133" spans="3:3" ht="15.6" customHeight="1" x14ac:dyDescent="0.3">
      <c r="C133" s="4" t="s">
        <v>55</v>
      </c>
    </row>
    <row r="134" spans="3:3" ht="15.6" customHeight="1" x14ac:dyDescent="0.3">
      <c r="C134" s="4" t="s">
        <v>58</v>
      </c>
    </row>
  </sheetData>
  <mergeCells count="16">
    <mergeCell ref="C97:D97"/>
    <mergeCell ref="C106:F106"/>
    <mergeCell ref="C107:D107"/>
    <mergeCell ref="C120:F120"/>
    <mergeCell ref="C121:D121"/>
    <mergeCell ref="C3:D3"/>
    <mergeCell ref="C16:D16"/>
    <mergeCell ref="C29:D29"/>
    <mergeCell ref="C39:D39"/>
    <mergeCell ref="C96:F96"/>
    <mergeCell ref="C83:F83"/>
    <mergeCell ref="C84:D84"/>
    <mergeCell ref="C57:D57"/>
    <mergeCell ref="C65:D65"/>
    <mergeCell ref="C74:D74"/>
    <mergeCell ref="C73:F7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6DB7-D719-4D2B-82F7-0187076EF117}">
  <dimension ref="B35:B37"/>
  <sheetViews>
    <sheetView zoomScaleNormal="100" workbookViewId="0">
      <selection activeCell="I34" sqref="I34"/>
    </sheetView>
  </sheetViews>
  <sheetFormatPr defaultRowHeight="16.8" customHeight="1" x14ac:dyDescent="0.25"/>
  <cols>
    <col min="1" max="16384" width="8.88671875" style="1"/>
  </cols>
  <sheetData>
    <row r="35" spans="2:2" ht="16.8" customHeight="1" x14ac:dyDescent="0.25">
      <c r="B35" s="1" t="s">
        <v>17</v>
      </c>
    </row>
    <row r="36" spans="2:2" ht="16.8" customHeight="1" x14ac:dyDescent="0.25">
      <c r="B36" s="1" t="s">
        <v>18</v>
      </c>
    </row>
    <row r="37" spans="2:2" ht="16.8" customHeight="1" x14ac:dyDescent="0.25">
      <c r="B37" s="1" t="s">
        <v>19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Head dimension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2022-06-05T14:17:50Z</dcterms:created>
  <dcterms:modified xsi:type="dcterms:W3CDTF">2022-06-17T09:03:16Z</dcterms:modified>
</cp:coreProperties>
</file>