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srifka\2021\211105 Amine System\"/>
    </mc:Choice>
  </mc:AlternateContent>
  <xr:revisionPtr revIDLastSave="0" documentId="13_ncr:1_{E8536398-C524-4AA0-BE2B-A1AAA01D0BED}" xr6:coauthVersionLast="47" xr6:coauthVersionMax="47" xr10:uidLastSave="{00000000-0000-0000-0000-000000000000}"/>
  <bookViews>
    <workbookView xWindow="-108" yWindow="-108" windowWidth="23256" windowHeight="12576" xr2:uid="{F97B66A0-2A97-4D3B-BA58-8DC98178B1B5}"/>
  </bookViews>
  <sheets>
    <sheet name="Calculation" sheetId="1" r:id="rId1"/>
    <sheet name="Selection" sheetId="2" r:id="rId2"/>
    <sheet name="Compressibility" sheetId="3" r:id="rId3"/>
    <sheet name="Viscosity" sheetId="4" r:id="rId4"/>
  </sheets>
  <definedNames>
    <definedName name="_xlnm.Print_Area" localSheetId="0">Calculation!$A$1:$G$51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27" i="1"/>
  <c r="D30" i="1" s="1"/>
  <c r="D21" i="1"/>
  <c r="D22" i="1" s="1"/>
  <c r="D19" i="1"/>
  <c r="D20" i="1" l="1"/>
  <c r="D28" i="1"/>
  <c r="D31" i="1" l="1"/>
  <c r="D33" i="1" s="1"/>
  <c r="D36" i="1" s="1"/>
  <c r="D29" i="1"/>
  <c r="D40" i="1" l="1"/>
  <c r="D41" i="1" s="1"/>
  <c r="D42" i="1" s="1"/>
  <c r="D43" i="1" s="1"/>
  <c r="D46" i="1"/>
</calcChain>
</file>

<file path=xl/sharedStrings.xml><?xml version="1.0" encoding="utf-8"?>
<sst xmlns="http://schemas.openxmlformats.org/spreadsheetml/2006/main" count="84" uniqueCount="69">
  <si>
    <t>Gas volume</t>
  </si>
  <si>
    <t>Gas specific gravity</t>
  </si>
  <si>
    <t>Pressure</t>
  </si>
  <si>
    <t>Gas temperature</t>
  </si>
  <si>
    <t>CO2 inlet</t>
  </si>
  <si>
    <t>CO2 outlet</t>
  </si>
  <si>
    <t>H2S inlet</t>
  </si>
  <si>
    <t>H2S outlet</t>
  </si>
  <si>
    <t>Max ambient temperature</t>
  </si>
  <si>
    <t>MMscfd</t>
  </si>
  <si>
    <t>Unitless</t>
  </si>
  <si>
    <t>psig</t>
  </si>
  <si>
    <t>F</t>
  </si>
  <si>
    <t>ppm</t>
  </si>
  <si>
    <t>PROCESS SELECTION</t>
  </si>
  <si>
    <t>Total acid gas inlet</t>
  </si>
  <si>
    <t>Partial pressure of inlet acid gas</t>
  </si>
  <si>
    <t>psia</t>
  </si>
  <si>
    <t>Total acid gas outlet</t>
  </si>
  <si>
    <t>Partial pressure of outlet acid gas</t>
  </si>
  <si>
    <t>Based on figure, acid gas removal method</t>
  </si>
  <si>
    <t>Amines, Sulfinol, or Carbonates</t>
  </si>
  <si>
    <t>CIRCULATION RATE</t>
  </si>
  <si>
    <t>Chemical used</t>
  </si>
  <si>
    <t>MEA</t>
  </si>
  <si>
    <t>DEA</t>
  </si>
  <si>
    <t>Amine weight fraction</t>
  </si>
  <si>
    <t>lb amine/lb solution</t>
  </si>
  <si>
    <t>Solution density</t>
  </si>
  <si>
    <t>lb/gal at 60F</t>
  </si>
  <si>
    <t>Acid-gas loading</t>
  </si>
  <si>
    <t>mole acid-gas/mole amine</t>
  </si>
  <si>
    <t>Recommendation</t>
  </si>
  <si>
    <t>Amine circulation</t>
  </si>
  <si>
    <t>gpm</t>
  </si>
  <si>
    <t>Safety margin</t>
  </si>
  <si>
    <t>Amine circulation + safety margin</t>
  </si>
  <si>
    <t>Recommendation 10%-15%</t>
  </si>
  <si>
    <t>REBOILER DUTY</t>
  </si>
  <si>
    <t>Reboiler duty</t>
  </si>
  <si>
    <t>MMBtu/h</t>
  </si>
  <si>
    <r>
      <t>Drag coefficient (C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)</t>
    </r>
  </si>
  <si>
    <t>Liquid droplet to be separated</t>
  </si>
  <si>
    <t>micron</t>
  </si>
  <si>
    <t>Gas density</t>
  </si>
  <si>
    <t>lb/ft3</t>
  </si>
  <si>
    <t>DATA</t>
  </si>
  <si>
    <t>Compressibility factor</t>
  </si>
  <si>
    <t>From graph</t>
  </si>
  <si>
    <t>lb/ft3 at 60F</t>
  </si>
  <si>
    <t>Gas viscosity</t>
  </si>
  <si>
    <t>DRAG COEFFICIENT</t>
  </si>
  <si>
    <t>Settling velocity of droplet</t>
  </si>
  <si>
    <t>ft/s</t>
  </si>
  <si>
    <t>Reynold number</t>
  </si>
  <si>
    <t>Calculated drag coefficient</t>
  </si>
  <si>
    <t>Guess drag coefficient</t>
  </si>
  <si>
    <t>Difference</t>
  </si>
  <si>
    <t>Use goal seek</t>
  </si>
  <si>
    <t>MINIMUM VESSEL DIAMETER</t>
  </si>
  <si>
    <t>Minimum vessel diameter (calculated)</t>
  </si>
  <si>
    <t>in</t>
  </si>
  <si>
    <t>Selected vessel diameter (inside diameter)</t>
  </si>
  <si>
    <t>Assumption (choose 150 to 200 micron)</t>
  </si>
  <si>
    <t>Data/input variable</t>
  </si>
  <si>
    <t>Calculated</t>
  </si>
  <si>
    <t>Input from graph</t>
  </si>
  <si>
    <t>Tray spacing</t>
  </si>
  <si>
    <t>For preliminary sizing, choose 24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</si>
</sst>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2" borderId="1" xfId="0" applyFill="1" applyBorder="1"/>
    <xf numFmtId="10" fontId="0" fillId="2" borderId="1" xfId="0" applyNumberFormat="1" applyFill="1" applyBorder="1"/>
    <xf numFmtId="9" fontId="0" fillId="2" borderId="1" xfId="0" applyNumberFormat="1" applyFill="1" applyBorder="1"/>
    <xf numFmtId="164" fontId="0" fillId="3" borderId="1" xfId="0" applyNumberFormat="1" applyFill="1" applyBorder="1"/>
    <xf numFmtId="2" fontId="0" fillId="3" borderId="1" xfId="0" applyNumberFormat="1" applyFill="1" applyBorder="1"/>
    <xf numFmtId="10" fontId="0" fillId="3" borderId="1" xfId="0" applyNumberFormat="1" applyFill="1" applyBorder="1"/>
    <xf numFmtId="165" fontId="0" fillId="3" borderId="1" xfId="0" applyNumberFormat="1" applyFill="1" applyBorder="1"/>
    <xf numFmtId="0" fontId="0" fillId="3" borderId="1" xfId="0" applyFill="1" applyBorder="1"/>
    <xf numFmtId="0" fontId="0" fillId="0" borderId="1" xfId="0" applyFont="1" applyBorder="1"/>
    <xf numFmtId="9" fontId="0" fillId="3" borderId="1" xfId="0" applyNumberFormat="1" applyFill="1" applyBorder="1"/>
    <xf numFmtId="1" fontId="0" fillId="3" borderId="1" xfId="0" applyNumberFormat="1" applyFill="1" applyBorder="1"/>
    <xf numFmtId="0" fontId="1" fillId="4" borderId="0" xfId="0" applyFont="1" applyFill="1"/>
    <xf numFmtId="0" fontId="2" fillId="4" borderId="0" xfId="0" applyFont="1" applyFill="1"/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/>
    <xf numFmtId="0" fontId="0" fillId="5" borderId="1" xfId="0" applyFill="1" applyBorder="1"/>
    <xf numFmtId="0" fontId="0" fillId="0" borderId="0" xfId="0" applyFill="1" applyBorder="1"/>
    <xf numFmtId="0" fontId="0" fillId="0" borderId="1" xfId="0" applyFill="1" applyBorder="1"/>
    <xf numFmtId="1" fontId="0" fillId="2" borderId="1" xfId="0" applyNumberFormat="1" applyFill="1" applyBorder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327564</xdr:colOff>
      <xdr:row>42</xdr:row>
      <xdr:rowOff>6626</xdr:rowOff>
    </xdr:from>
    <xdr:to>
      <xdr:col>6</xdr:col>
      <xdr:colOff>1674278</xdr:colOff>
      <xdr:row>48</xdr:row>
      <xdr:rowOff>155085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D2FD32-42FB-4A39-9DE4-447A71489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33634" y="7838661"/>
          <a:ext cx="1960179" cy="1261642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1</xdr:row>
      <xdr:rowOff>15240</xdr:rowOff>
    </xdr:from>
    <xdr:to>
      <xdr:col>13</xdr:col>
      <xdr:colOff>541976</xdr:colOff>
      <xdr:row>41</xdr:row>
      <xdr:rowOff>52421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4EF4EF-75E4-4022-A573-488B4D2F6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198120"/>
          <a:ext cx="7590476" cy="7352381"/>
        </a:xfrm>
        <a:prstGeom prst="rect">
          <a:avLst/>
        </a:prstGeom>
      </xdr:spPr>
    </xdr:pic>
    <xdr:clientData/>
  </xdr:twoCellAnchor>
  <xdr:twoCellAnchor>
    <xdr:from>
      <xdr:col>10</xdr:col>
      <xdr:colOff>259080</xdr:colOff>
      <xdr:row>21</xdr:row>
      <xdr:rowOff>91440</xdr:rowOff>
    </xdr:from>
    <xdr:to>
      <xdr:col>10</xdr:col>
      <xdr:colOff>259080</xdr:colOff>
      <xdr:row>34</xdr:row>
      <xdr:rowOff>160020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B1AEDD5-D6D1-41AE-B7FC-13B9F24DC1E1}"/>
            </a:ext>
          </a:extLst>
        </xdr:cNvPr>
        <xdr:cNvCxnSpPr/>
      </xdr:nvCxnSpPr>
      <xdr:spPr>
        <a:xfrm flipV="1">
          <a:off x="6355080" y="3931920"/>
          <a:ext cx="0" cy="244602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21</xdr:row>
      <xdr:rowOff>83820</xdr:rowOff>
    </xdr:from>
    <xdr:to>
      <xdr:col>10</xdr:col>
      <xdr:colOff>251460</xdr:colOff>
      <xdr:row>21</xdr:row>
      <xdr:rowOff>114300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5F88EF8-30AF-4BC6-AA06-D9BB259DACA5}"/>
            </a:ext>
          </a:extLst>
        </xdr:cNvPr>
        <xdr:cNvCxnSpPr/>
      </xdr:nvCxnSpPr>
      <xdr:spPr>
        <a:xfrm flipH="1" flipV="1">
          <a:off x="1866900" y="3924300"/>
          <a:ext cx="4480560" cy="304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502920</xdr:colOff>
      <xdr:row>0</xdr:row>
      <xdr:rowOff>0</xdr:rowOff>
    </xdr:from>
    <xdr:to>
      <xdr:col>13</xdr:col>
      <xdr:colOff>330501</xdr:colOff>
      <xdr:row>30</xdr:row>
      <xdr:rowOff>170743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8CBC6F-E499-428C-86C9-EB3515C76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920" y="0"/>
          <a:ext cx="7752381" cy="5657143"/>
        </a:xfrm>
        <a:prstGeom prst="rect">
          <a:avLst/>
        </a:prstGeom>
      </xdr:spPr>
    </xdr:pic>
    <xdr:clientData/>
  </xdr:twoCellAnchor>
  <xdr:twoCellAnchor>
    <xdr:from>
      <xdr:col>4</xdr:col>
      <xdr:colOff>367862</xdr:colOff>
      <xdr:row>12</xdr:row>
      <xdr:rowOff>68318</xdr:rowOff>
    </xdr:from>
    <xdr:to>
      <xdr:col>4</xdr:col>
      <xdr:colOff>373381</xdr:colOff>
      <xdr:row>24</xdr:row>
      <xdr:rowOff>53341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6014283-31F1-4102-868A-28959CB6C923}"/>
            </a:ext>
          </a:extLst>
        </xdr:cNvPr>
        <xdr:cNvCxnSpPr/>
      </xdr:nvCxnSpPr>
      <xdr:spPr>
        <a:xfrm flipH="1" flipV="1">
          <a:off x="2806262" y="2275490"/>
          <a:ext cx="5519" cy="219219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346841</xdr:colOff>
      <xdr:row>12</xdr:row>
      <xdr:rowOff>57807</xdr:rowOff>
    </xdr:from>
    <xdr:to>
      <xdr:col>4</xdr:col>
      <xdr:colOff>388882</xdr:colOff>
      <xdr:row>12</xdr:row>
      <xdr:rowOff>63062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92139E2E-4E39-437E-A2C7-7B95711079FF}"/>
            </a:ext>
          </a:extLst>
        </xdr:cNvPr>
        <xdr:cNvCxnSpPr/>
      </xdr:nvCxnSpPr>
      <xdr:spPr>
        <a:xfrm flipH="1" flipV="1">
          <a:off x="1566041" y="2264979"/>
          <a:ext cx="1261241" cy="525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12</xdr:col>
      <xdr:colOff>205740</xdr:colOff>
      <xdr:row>47</xdr:row>
      <xdr:rowOff>68476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11D143-D790-4E32-8C58-8523B3703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6758940" cy="8663836"/>
        </a:xfrm>
        <a:prstGeom prst="rect">
          <a:avLst/>
        </a:prstGeom>
      </xdr:spPr>
    </xdr:pic>
    <xdr:clientData/>
  </xdr:twoCellAnchor>
  <xdr:twoCellAnchor>
    <xdr:from>
      <xdr:col>5</xdr:col>
      <xdr:colOff>561474</xdr:colOff>
      <xdr:row>41</xdr:row>
      <xdr:rowOff>152400</xdr:rowOff>
    </xdr:from>
    <xdr:to>
      <xdr:col>6</xdr:col>
      <xdr:colOff>0</xdr:colOff>
      <xdr:row>42</xdr:row>
      <xdr:rowOff>16042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DEB25CE-3207-48E2-90E5-41330AA457FB}"/>
            </a:ext>
          </a:extLst>
        </xdr:cNvPr>
        <xdr:cNvCxnSpPr/>
      </xdr:nvCxnSpPr>
      <xdr:spPr>
        <a:xfrm flipH="1" flipV="1">
          <a:off x="3609474" y="7716253"/>
          <a:ext cx="48126" cy="4812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573931</xdr:colOff>
      <xdr:row>19</xdr:row>
      <xdr:rowOff>21020</xdr:rowOff>
    </xdr:from>
    <xdr:to>
      <xdr:col>5</xdr:col>
      <xdr:colOff>573931</xdr:colOff>
      <xdr:row>41</xdr:row>
      <xdr:rowOff>149157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6D3B51B4-4040-4EBB-8106-B7FD21BDD0E4}"/>
            </a:ext>
          </a:extLst>
        </xdr:cNvPr>
        <xdr:cNvCxnSpPr/>
      </xdr:nvCxnSpPr>
      <xdr:spPr>
        <a:xfrm flipV="1">
          <a:off x="3621931" y="3515710"/>
          <a:ext cx="0" cy="417461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36786</xdr:colOff>
      <xdr:row>19</xdr:row>
      <xdr:rowOff>31531</xdr:rowOff>
    </xdr:from>
    <xdr:to>
      <xdr:col>5</xdr:col>
      <xdr:colOff>551793</xdr:colOff>
      <xdr:row>19</xdr:row>
      <xdr:rowOff>31531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8C0B92C0-9FE7-4505-BC4E-2B1536412E88}"/>
            </a:ext>
          </a:extLst>
        </xdr:cNvPr>
        <xdr:cNvCxnSpPr/>
      </xdr:nvCxnSpPr>
      <xdr:spPr>
        <a:xfrm flipH="1">
          <a:off x="1865586" y="3526221"/>
          <a:ext cx="1734207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461210</xdr:colOff>
      <xdr:row>18</xdr:row>
      <xdr:rowOff>8022</xdr:rowOff>
    </xdr:from>
    <xdr:to>
      <xdr:col>3</xdr:col>
      <xdr:colOff>49599</xdr:colOff>
      <xdr:row>19</xdr:row>
      <xdr:rowOff>24063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87FA7EBF-0D5D-40BB-A97C-1CADB4BE83E3}"/>
            </a:ext>
          </a:extLst>
        </xdr:cNvPr>
        <xdr:cNvCxnSpPr/>
      </xdr:nvCxnSpPr>
      <xdr:spPr>
        <a:xfrm flipH="1" flipV="1">
          <a:off x="1680410" y="3328738"/>
          <a:ext cx="197989" cy="200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7D7B9-773A-4219-BCC4-E5B303DE6371}">
  <sheetPr>
    <tabColor rgb="FFFFC000"/>
  </sheetPr>
  <dimension ref="B2:I49"/>
  <sheetViews>
    <sheetView showGridLines="0" tabSelected="1" view="pageBreakPreview" topLeftCell="A37" zoomScale="115" zoomScaleNormal="115" zoomScaleSheetLayoutView="115" workbookViewId="0">
      <selection activeCell="D39" sqref="D39"/>
    </sheetView>
  </sheetViews>
  <sheetFormatPr defaultRowHeight="14.4" x14ac:dyDescent="0.3"/>
  <cols>
    <col min="2" max="2" width="35.44140625" bestFit="1" customWidth="1"/>
    <col min="3" max="3" width="22.88671875" bestFit="1" customWidth="1"/>
    <col min="4" max="4" width="26.6640625" bestFit="1" customWidth="1"/>
    <col min="5" max="5" width="34.44140625" bestFit="1" customWidth="1"/>
    <col min="7" max="7" width="28.21875" customWidth="1"/>
  </cols>
  <sheetData>
    <row r="2" spans="2:9" x14ac:dyDescent="0.3">
      <c r="B2" s="15" t="s">
        <v>46</v>
      </c>
      <c r="C2" s="16"/>
      <c r="D2" s="16"/>
      <c r="E2" s="16"/>
      <c r="G2" s="1" t="s">
        <v>64</v>
      </c>
    </row>
    <row r="3" spans="2:9" x14ac:dyDescent="0.3">
      <c r="B3" s="3" t="s">
        <v>0</v>
      </c>
      <c r="C3" s="3" t="s">
        <v>9</v>
      </c>
      <c r="D3" s="4">
        <v>100</v>
      </c>
      <c r="E3" s="3"/>
      <c r="G3" s="2" t="s">
        <v>65</v>
      </c>
    </row>
    <row r="4" spans="2:9" x14ac:dyDescent="0.3">
      <c r="B4" s="3" t="s">
        <v>1</v>
      </c>
      <c r="C4" s="3" t="s">
        <v>10</v>
      </c>
      <c r="D4" s="4">
        <v>0.67</v>
      </c>
      <c r="E4" s="3"/>
      <c r="G4" s="23" t="s">
        <v>66</v>
      </c>
      <c r="I4" t="s">
        <v>24</v>
      </c>
    </row>
    <row r="5" spans="2:9" x14ac:dyDescent="0.3">
      <c r="B5" s="3" t="s">
        <v>2</v>
      </c>
      <c r="C5" s="3" t="s">
        <v>11</v>
      </c>
      <c r="D5" s="4">
        <v>1000</v>
      </c>
      <c r="E5" s="3"/>
      <c r="I5" t="s">
        <v>25</v>
      </c>
    </row>
    <row r="6" spans="2:9" x14ac:dyDescent="0.3">
      <c r="B6" s="3" t="s">
        <v>3</v>
      </c>
      <c r="C6" s="3" t="s">
        <v>12</v>
      </c>
      <c r="D6" s="4">
        <v>100</v>
      </c>
      <c r="E6" s="3"/>
    </row>
    <row r="7" spans="2:9" x14ac:dyDescent="0.3">
      <c r="B7" s="3" t="s">
        <v>4</v>
      </c>
      <c r="C7" s="3"/>
      <c r="D7" s="5">
        <v>4.0300000000000002E-2</v>
      </c>
      <c r="E7" s="3"/>
    </row>
    <row r="8" spans="2:9" x14ac:dyDescent="0.3">
      <c r="B8" s="3" t="s">
        <v>5</v>
      </c>
      <c r="C8" s="3"/>
      <c r="D8" s="6">
        <v>0.02</v>
      </c>
      <c r="E8" s="3"/>
    </row>
    <row r="9" spans="2:9" x14ac:dyDescent="0.3">
      <c r="B9" s="3" t="s">
        <v>6</v>
      </c>
      <c r="C9" s="3" t="s">
        <v>13</v>
      </c>
      <c r="D9" s="4">
        <v>19</v>
      </c>
      <c r="E9" s="3"/>
    </row>
    <row r="10" spans="2:9" x14ac:dyDescent="0.3">
      <c r="B10" s="3" t="s">
        <v>7</v>
      </c>
      <c r="C10" s="3" t="s">
        <v>13</v>
      </c>
      <c r="D10" s="4">
        <v>4</v>
      </c>
      <c r="E10" s="3"/>
    </row>
    <row r="11" spans="2:9" x14ac:dyDescent="0.3">
      <c r="B11" s="3" t="s">
        <v>8</v>
      </c>
      <c r="C11" s="3" t="s">
        <v>12</v>
      </c>
      <c r="D11" s="4">
        <v>100</v>
      </c>
      <c r="E11" s="3"/>
    </row>
    <row r="12" spans="2:9" ht="15.6" x14ac:dyDescent="0.35">
      <c r="B12" s="3" t="s">
        <v>41</v>
      </c>
      <c r="C12" s="3"/>
      <c r="D12" s="4"/>
      <c r="E12" s="3"/>
    </row>
    <row r="13" spans="2:9" x14ac:dyDescent="0.3">
      <c r="B13" s="3" t="s">
        <v>42</v>
      </c>
      <c r="C13" s="3" t="s">
        <v>43</v>
      </c>
      <c r="D13" s="4">
        <v>150</v>
      </c>
      <c r="E13" s="3" t="s">
        <v>63</v>
      </c>
    </row>
    <row r="14" spans="2:9" x14ac:dyDescent="0.3">
      <c r="B14" s="3" t="s">
        <v>47</v>
      </c>
      <c r="C14" s="3"/>
      <c r="D14" s="19">
        <v>0.87</v>
      </c>
      <c r="E14" s="3" t="s">
        <v>48</v>
      </c>
    </row>
    <row r="15" spans="2:9" x14ac:dyDescent="0.3">
      <c r="B15" s="3" t="s">
        <v>50</v>
      </c>
      <c r="C15" s="3" t="s">
        <v>43</v>
      </c>
      <c r="D15" s="19">
        <v>1.7999999999999999E-2</v>
      </c>
      <c r="E15" s="3" t="s">
        <v>48</v>
      </c>
    </row>
    <row r="16" spans="2:9" x14ac:dyDescent="0.3">
      <c r="B16" s="3" t="s">
        <v>44</v>
      </c>
      <c r="C16" s="3" t="s">
        <v>45</v>
      </c>
      <c r="D16" s="8">
        <f>2.7*D4*(D5+14.7)/((D6+460)*D14)</f>
        <v>3.767636083743843</v>
      </c>
      <c r="E16" s="3"/>
    </row>
    <row r="18" spans="2:5" x14ac:dyDescent="0.3">
      <c r="B18" s="15" t="s">
        <v>14</v>
      </c>
      <c r="C18" s="16"/>
      <c r="D18" s="16"/>
      <c r="E18" s="16"/>
    </row>
    <row r="19" spans="2:5" x14ac:dyDescent="0.3">
      <c r="B19" s="3" t="s">
        <v>15</v>
      </c>
      <c r="C19" s="3"/>
      <c r="D19" s="7">
        <f>D7+D9/1000000</f>
        <v>4.0319000000000001E-2</v>
      </c>
      <c r="E19" s="3"/>
    </row>
    <row r="20" spans="2:5" x14ac:dyDescent="0.3">
      <c r="B20" s="3" t="s">
        <v>16</v>
      </c>
      <c r="C20" s="3" t="s">
        <v>17</v>
      </c>
      <c r="D20" s="8">
        <f>D19*(D5+14.7)</f>
        <v>40.911689299999999</v>
      </c>
      <c r="E20" s="3"/>
    </row>
    <row r="21" spans="2:5" x14ac:dyDescent="0.3">
      <c r="B21" s="3" t="s">
        <v>18</v>
      </c>
      <c r="C21" s="3"/>
      <c r="D21" s="9">
        <f>D8+D10/1000000</f>
        <v>2.0004000000000001E-2</v>
      </c>
      <c r="E21" s="3"/>
    </row>
    <row r="22" spans="2:5" x14ac:dyDescent="0.3">
      <c r="B22" s="3" t="s">
        <v>19</v>
      </c>
      <c r="C22" s="3" t="s">
        <v>17</v>
      </c>
      <c r="D22" s="10">
        <f>D21*(D5+14.7)</f>
        <v>20.298058800000003</v>
      </c>
      <c r="E22" s="3"/>
    </row>
    <row r="23" spans="2:5" x14ac:dyDescent="0.3">
      <c r="B23" s="3" t="s">
        <v>20</v>
      </c>
      <c r="C23" s="3"/>
      <c r="D23" s="11" t="s">
        <v>21</v>
      </c>
      <c r="E23" s="3"/>
    </row>
    <row r="25" spans="2:5" x14ac:dyDescent="0.3">
      <c r="B25" s="15" t="s">
        <v>22</v>
      </c>
      <c r="C25" s="16"/>
      <c r="D25" s="16"/>
      <c r="E25" s="16"/>
    </row>
    <row r="26" spans="2:5" x14ac:dyDescent="0.3">
      <c r="B26" s="12" t="s">
        <v>23</v>
      </c>
      <c r="C26" s="3"/>
      <c r="D26" s="17" t="s">
        <v>25</v>
      </c>
      <c r="E26" s="3"/>
    </row>
    <row r="27" spans="2:5" x14ac:dyDescent="0.3">
      <c r="B27" s="12" t="s">
        <v>26</v>
      </c>
      <c r="C27" s="3" t="s">
        <v>27</v>
      </c>
      <c r="D27" s="13">
        <f>IF(D26="MEA",20%,IF(D26="DEA",35%,"ERROR"))</f>
        <v>0.35</v>
      </c>
      <c r="E27" s="3" t="s">
        <v>32</v>
      </c>
    </row>
    <row r="28" spans="2:5" x14ac:dyDescent="0.3">
      <c r="B28" s="12" t="s">
        <v>28</v>
      </c>
      <c r="C28" s="3" t="s">
        <v>29</v>
      </c>
      <c r="D28" s="11">
        <f>IF(AND(D26="MEA",D27=20%),8.41,IF(AND(D26="DEA",D27=35%),8.71))</f>
        <v>8.7100000000000009</v>
      </c>
      <c r="E28" s="3" t="s">
        <v>32</v>
      </c>
    </row>
    <row r="29" spans="2:5" x14ac:dyDescent="0.3">
      <c r="B29" s="12"/>
      <c r="C29" s="3" t="s">
        <v>49</v>
      </c>
      <c r="D29" s="14">
        <f>D28/0.134</f>
        <v>65</v>
      </c>
      <c r="E29" s="3"/>
    </row>
    <row r="30" spans="2:5" x14ac:dyDescent="0.3">
      <c r="B30" s="12" t="s">
        <v>30</v>
      </c>
      <c r="C30" s="3" t="s">
        <v>31</v>
      </c>
      <c r="D30" s="11">
        <f>IF(AND(D26="MEA",D27=20%),0.33,IF(AND(D26="DEA",D27=35%),0.5))</f>
        <v>0.5</v>
      </c>
      <c r="E30" s="3" t="s">
        <v>32</v>
      </c>
    </row>
    <row r="31" spans="2:5" x14ac:dyDescent="0.3">
      <c r="B31" s="12" t="s">
        <v>33</v>
      </c>
      <c r="C31" s="3" t="s">
        <v>34</v>
      </c>
      <c r="D31" s="14">
        <f>IF(D26="MEA",112*D3*D19/(D27*D28*D30),IF(D26="DEA",192*D3*D19/(D27*D28*D30)))</f>
        <v>507.87259307856323</v>
      </c>
      <c r="E31" s="3"/>
    </row>
    <row r="32" spans="2:5" x14ac:dyDescent="0.3">
      <c r="B32" s="12" t="s">
        <v>35</v>
      </c>
      <c r="C32" s="3"/>
      <c r="D32" s="6">
        <v>0.1</v>
      </c>
      <c r="E32" s="3" t="s">
        <v>37</v>
      </c>
    </row>
    <row r="33" spans="2:5" x14ac:dyDescent="0.3">
      <c r="B33" s="12" t="s">
        <v>36</v>
      </c>
      <c r="C33" s="3" t="s">
        <v>34</v>
      </c>
      <c r="D33" s="14">
        <f>D31*(1+D32)</f>
        <v>558.65985238641963</v>
      </c>
      <c r="E33" s="3"/>
    </row>
    <row r="35" spans="2:5" x14ac:dyDescent="0.3">
      <c r="B35" s="15" t="s">
        <v>38</v>
      </c>
      <c r="C35" s="16"/>
      <c r="D35" s="16"/>
      <c r="E35" s="16"/>
    </row>
    <row r="36" spans="2:5" x14ac:dyDescent="0.3">
      <c r="B36" s="3" t="s">
        <v>39</v>
      </c>
      <c r="C36" s="3" t="s">
        <v>40</v>
      </c>
      <c r="D36" s="10">
        <f>60000*D33/1000000</f>
        <v>33.519591143185174</v>
      </c>
      <c r="E36" s="3"/>
    </row>
    <row r="38" spans="2:5" x14ac:dyDescent="0.3">
      <c r="B38" s="15" t="s">
        <v>51</v>
      </c>
      <c r="C38" s="16"/>
      <c r="D38" s="16"/>
      <c r="E38" s="16"/>
    </row>
    <row r="39" spans="2:5" x14ac:dyDescent="0.3">
      <c r="B39" s="3" t="s">
        <v>56</v>
      </c>
      <c r="C39" s="3" t="s">
        <v>10</v>
      </c>
      <c r="D39" s="18">
        <v>0.7362496979683899</v>
      </c>
      <c r="E39" s="3"/>
    </row>
    <row r="40" spans="2:5" x14ac:dyDescent="0.3">
      <c r="B40" s="21" t="s">
        <v>52</v>
      </c>
      <c r="C40" s="3" t="s">
        <v>53</v>
      </c>
      <c r="D40" s="8">
        <f>0.0119*(((D29-D16)/D16)*D13/D39)^0.5</f>
        <v>0.68475634522782536</v>
      </c>
      <c r="E40" s="3"/>
    </row>
    <row r="41" spans="2:5" x14ac:dyDescent="0.3">
      <c r="B41" s="21" t="s">
        <v>54</v>
      </c>
      <c r="C41" s="3" t="s">
        <v>10</v>
      </c>
      <c r="D41" s="8">
        <f>0.0049*(D16*D40*D13/D15)</f>
        <v>105.34643585649385</v>
      </c>
      <c r="E41" s="3"/>
    </row>
    <row r="42" spans="2:5" x14ac:dyDescent="0.3">
      <c r="B42" s="21" t="s">
        <v>55</v>
      </c>
      <c r="C42" s="3" t="s">
        <v>10</v>
      </c>
      <c r="D42" s="8">
        <f>24/D41+(3/D41)^0.5+0.34</f>
        <v>0.73657245233177915</v>
      </c>
      <c r="E42" s="3"/>
    </row>
    <row r="43" spans="2:5" x14ac:dyDescent="0.3">
      <c r="B43" s="21" t="s">
        <v>57</v>
      </c>
      <c r="C43" s="3" t="s">
        <v>10</v>
      </c>
      <c r="D43" s="10">
        <f>D39-D42</f>
        <v>-3.2275436338924379E-4</v>
      </c>
      <c r="E43" s="3" t="s">
        <v>58</v>
      </c>
    </row>
    <row r="45" spans="2:5" x14ac:dyDescent="0.3">
      <c r="B45" s="15" t="s">
        <v>59</v>
      </c>
      <c r="C45" s="16"/>
      <c r="D45" s="16"/>
      <c r="E45" s="16"/>
    </row>
    <row r="46" spans="2:5" x14ac:dyDescent="0.3">
      <c r="B46" s="3" t="s">
        <v>60</v>
      </c>
      <c r="C46" s="3" t="s">
        <v>61</v>
      </c>
      <c r="D46" s="10">
        <f>(5040*(D6+460)*D14*D3/(D5+14.7)*((D16/(D29-D16))*D39/D13)^0.5)^0.5</f>
        <v>64.849334842416269</v>
      </c>
      <c r="E46" s="3"/>
    </row>
    <row r="47" spans="2:5" x14ac:dyDescent="0.3">
      <c r="B47" s="3" t="s">
        <v>62</v>
      </c>
      <c r="C47" s="3" t="s">
        <v>61</v>
      </c>
      <c r="D47" s="22">
        <v>72</v>
      </c>
      <c r="E47" s="3"/>
    </row>
    <row r="48" spans="2:5" x14ac:dyDescent="0.3">
      <c r="B48" s="3" t="s">
        <v>67</v>
      </c>
      <c r="C48" s="3" t="s">
        <v>61</v>
      </c>
      <c r="D48" s="22">
        <v>24</v>
      </c>
      <c r="E48" s="3" t="s">
        <v>68</v>
      </c>
    </row>
    <row r="49" spans="2:2" x14ac:dyDescent="0.3">
      <c r="B49" s="20"/>
    </row>
  </sheetData>
  <dataValidations count="1">
    <dataValidation type="list" allowBlank="1" showInputMessage="1" showErrorMessage="1" sqref="D26" xr:uid="{3B8978EB-870E-41F4-81F6-F214B88390E0}">
      <formula1>$I$4:$I$5</formula1>
    </dataValidation>
  </dataValidations>
  <pageMargins left="0.7" right="0.7" top="0.75" bottom="0.75" header="0.3" footer="0.3"/>
  <pageSetup paperSize="9" scale="53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BAA9-DD12-4A83-B807-DDA6E354BB90}">
  <dimension ref="A1"/>
  <sheetViews>
    <sheetView workbookViewId="0">
      <selection activeCell="Q24" sqref="Q24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27B32-B611-401A-A0BE-2A3574433EDD}">
  <dimension ref="A1"/>
  <sheetViews>
    <sheetView topLeftCell="A9" zoomScale="145" zoomScaleNormal="145" workbookViewId="0">
      <selection activeCell="B32" sqref="B3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1987A-1316-48A7-A46A-579663484424}">
  <dimension ref="A1"/>
  <sheetViews>
    <sheetView topLeftCell="A14" zoomScale="190" zoomScaleNormal="190" workbookViewId="0">
      <selection activeCell="M40" sqref="M40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Calculation</vt:lpstr>
      <vt:lpstr>Selection</vt:lpstr>
      <vt:lpstr>Compressibility</vt:lpstr>
      <vt:lpstr>Viscosity</vt:lpstr>
      <vt:lpstr>Calculation!Print_Area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Rifka Aisyah</dc:creator>
  <cp:lastModifiedBy>Rifka Aisyah</cp:lastModifiedBy>
  <dcterms:created xsi:type="dcterms:W3CDTF">2021-11-06T13:11:21Z</dcterms:created>
  <dcterms:modified xsi:type="dcterms:W3CDTF">2021-11-07T15:31:54Z</dcterms:modified>
</cp:coreProperties>
</file>