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!Missrifka 2021\20210923 Design of Air Cooler Heat Exchanger\"/>
    </mc:Choice>
  </mc:AlternateContent>
  <xr:revisionPtr revIDLastSave="0" documentId="13_ncr:1_{FC6407B2-4FFB-47F7-9655-3A72CFE7A1FF}" xr6:coauthVersionLast="47" xr6:coauthVersionMax="47" xr10:uidLastSave="{00000000-0000-0000-0000-000000000000}"/>
  <bookViews>
    <workbookView xWindow="-120" yWindow="-120" windowWidth="20730" windowHeight="11160" tabRatio="827" firstSheet="2" activeTab="13" xr2:uid="{69AB1183-6372-496A-ACAC-A43EB1A49A18}"/>
  </bookViews>
  <sheets>
    <sheet name="Summary" sheetId="13" r:id="rId1"/>
    <sheet name="Calc" sheetId="1" r:id="rId2"/>
    <sheet name="Fig 9-25" sheetId="5" r:id="rId3"/>
    <sheet name="Fig 10-8" sheetId="14" r:id="rId4"/>
    <sheet name="Fig 10-9" sheetId="15" r:id="rId5"/>
    <sheet name="Fig 10-10" sheetId="3" r:id="rId6"/>
    <sheet name="Fig 10-11" sheetId="4" r:id="rId7"/>
    <sheet name="Fig 10-12" sheetId="7" r:id="rId8"/>
    <sheet name="Fig 10-13" sheetId="9" r:id="rId9"/>
    <sheet name="Fig 10-14" sheetId="6" r:id="rId10"/>
    <sheet name="Fig 10-15" sheetId="10" r:id="rId11"/>
    <sheet name="Fig 10-16" sheetId="2" r:id="rId12"/>
    <sheet name="Fig 10-17" sheetId="11" r:id="rId13"/>
    <sheet name="Fig 10-18" sheetId="12" r:id="rId14"/>
    <sheet name="Fig 10-19" sheetId="8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2" i="1" l="1"/>
  <c r="E69" i="1"/>
  <c r="E67" i="1"/>
  <c r="E62" i="1"/>
  <c r="E61" i="1"/>
  <c r="E57" i="1"/>
  <c r="E58" i="1"/>
  <c r="E59" i="1"/>
  <c r="E56" i="1"/>
  <c r="E52" i="1"/>
  <c r="E53" i="1"/>
  <c r="E51" i="1"/>
  <c r="E49" i="1"/>
  <c r="E46" i="1"/>
  <c r="E43" i="1"/>
  <c r="D7" i="13" s="1"/>
  <c r="E25" i="1"/>
  <c r="E26" i="1"/>
  <c r="D15" i="13" s="1"/>
  <c r="E28" i="1"/>
  <c r="D18" i="13" s="1"/>
  <c r="E29" i="1"/>
  <c r="D17" i="13" s="1"/>
  <c r="E30" i="1"/>
  <c r="E31" i="1"/>
  <c r="E82" i="1" s="1"/>
  <c r="E32" i="1"/>
  <c r="E24" i="1"/>
  <c r="E19" i="1"/>
  <c r="E20" i="1"/>
  <c r="E21" i="1"/>
  <c r="E18" i="1"/>
  <c r="E15" i="1"/>
  <c r="E14" i="1"/>
  <c r="E10" i="1"/>
  <c r="E11" i="1"/>
  <c r="E12" i="1"/>
  <c r="E9" i="1"/>
  <c r="E7" i="1"/>
  <c r="E6" i="1"/>
  <c r="E4" i="1"/>
  <c r="E5" i="1" s="1"/>
  <c r="E3" i="1"/>
  <c r="D70" i="1"/>
  <c r="D63" i="1"/>
  <c r="D60" i="1"/>
  <c r="D75" i="1" s="1"/>
  <c r="D5" i="1"/>
  <c r="D39" i="1"/>
  <c r="D36" i="1"/>
  <c r="D37" i="1" s="1"/>
  <c r="D38" i="1" s="1"/>
  <c r="D27" i="1"/>
  <c r="E27" i="1" s="1"/>
  <c r="D16" i="13" s="1"/>
  <c r="D13" i="1"/>
  <c r="D8" i="1"/>
  <c r="D41" i="1" l="1"/>
  <c r="D42" i="1"/>
  <c r="E39" i="1"/>
  <c r="E8" i="1"/>
  <c r="D65" i="1"/>
  <c r="D84" i="1" s="1"/>
  <c r="D85" i="1" s="1"/>
  <c r="E70" i="1"/>
  <c r="E63" i="1"/>
  <c r="E13" i="1"/>
  <c r="E60" i="1"/>
  <c r="E75" i="1" s="1"/>
  <c r="D71" i="1"/>
  <c r="D72" i="1" s="1"/>
  <c r="D79" i="1"/>
  <c r="D40" i="1"/>
  <c r="D44" i="1" s="1"/>
  <c r="D45" i="1" s="1"/>
  <c r="E71" i="1" l="1"/>
  <c r="E72" i="1" s="1"/>
  <c r="D74" i="1"/>
  <c r="E35" i="1"/>
  <c r="D50" i="1"/>
  <c r="D54" i="1" s="1"/>
  <c r="D55" i="1" s="1"/>
  <c r="D47" i="1"/>
  <c r="D77" i="1" s="1"/>
  <c r="D78" i="1" s="1"/>
  <c r="D87" i="1" s="1"/>
  <c r="D90" i="1" s="1"/>
  <c r="D93" i="1" s="1"/>
  <c r="E36" i="1" l="1"/>
  <c r="E74" i="1"/>
  <c r="D48" i="1"/>
  <c r="D66" i="1"/>
  <c r="E37" i="1" l="1"/>
  <c r="E65" i="1"/>
  <c r="E42" i="1" l="1"/>
  <c r="D5" i="13"/>
  <c r="E41" i="1"/>
  <c r="E84" i="1"/>
  <c r="E38" i="1"/>
  <c r="E40" i="1" s="1"/>
  <c r="E79" i="1"/>
  <c r="E85" i="1" l="1"/>
  <c r="D24" i="13"/>
  <c r="E44" i="1"/>
  <c r="E45" i="1" s="1"/>
  <c r="E50" i="1" s="1"/>
  <c r="D6" i="13"/>
  <c r="D8" i="13" s="1"/>
  <c r="E47" i="1" l="1"/>
  <c r="E54" i="1"/>
  <c r="E55" i="1" s="1"/>
  <c r="D19" i="13"/>
  <c r="D20" i="13" s="1"/>
  <c r="D10" i="13"/>
  <c r="D9" i="13"/>
  <c r="E48" i="1"/>
  <c r="D11" i="13" s="1"/>
  <c r="E77" i="1"/>
  <c r="E78" i="1" s="1"/>
  <c r="E87" i="1" s="1"/>
  <c r="E66" i="1"/>
  <c r="E90" i="1" l="1"/>
  <c r="D25" i="13"/>
  <c r="E93" i="1" l="1"/>
  <c r="D27" i="13" s="1"/>
  <c r="D26" i="13"/>
</calcChain>
</file>

<file path=xl/sharedStrings.xml><?xml version="1.0" encoding="utf-8"?>
<sst xmlns="http://schemas.openxmlformats.org/spreadsheetml/2006/main" count="186" uniqueCount="145">
  <si>
    <t>PROCESS FLUID DATA</t>
  </si>
  <si>
    <t>Name and Phase</t>
  </si>
  <si>
    <t>48o API hydrocarbon liquid</t>
  </si>
  <si>
    <t>F</t>
  </si>
  <si>
    <t>Average temperature</t>
  </si>
  <si>
    <t>Heat capacity</t>
  </si>
  <si>
    <t>Btu/(lb. F)</t>
  </si>
  <si>
    <t>Dynamic viscosity</t>
  </si>
  <si>
    <t>cP</t>
  </si>
  <si>
    <t>At average temperature</t>
  </si>
  <si>
    <t>Thermal conductivity</t>
  </si>
  <si>
    <t>Btu/(hr-ft2-F)/ft</t>
  </si>
  <si>
    <t>Flow quantity</t>
  </si>
  <si>
    <t>lb/hr</t>
  </si>
  <si>
    <t>Heat load</t>
  </si>
  <si>
    <t>Btu/hr</t>
  </si>
  <si>
    <t>hr-ft2-F/Btu</t>
  </si>
  <si>
    <t>Allowable pressure drop</t>
  </si>
  <si>
    <t>psi</t>
  </si>
  <si>
    <t>AIR DATA</t>
  </si>
  <si>
    <t>Elevation</t>
  </si>
  <si>
    <t>ft</t>
  </si>
  <si>
    <t>sea level</t>
  </si>
  <si>
    <t>Altitute correction factor</t>
  </si>
  <si>
    <t>Air heat capacity</t>
  </si>
  <si>
    <t>Btu/(lb-F)</t>
  </si>
  <si>
    <t>TYPE OF AIR COOLER</t>
  </si>
  <si>
    <t>Type</t>
  </si>
  <si>
    <t>Forced-draft</t>
  </si>
  <si>
    <t>No of fans</t>
  </si>
  <si>
    <t>Tube OD</t>
  </si>
  <si>
    <t>in</t>
  </si>
  <si>
    <t>Fins</t>
  </si>
  <si>
    <t>Tube pitch</t>
  </si>
  <si>
    <t>Pitch orientation</t>
  </si>
  <si>
    <t>Triangular</t>
  </si>
  <si>
    <t>No of tubes row</t>
  </si>
  <si>
    <t>Length of tubes</t>
  </si>
  <si>
    <t>see Fig. 10-16 for altitude correction factor</t>
  </si>
  <si>
    <t>see Fig 10-10</t>
  </si>
  <si>
    <t>Approximate overall transfer area (Ux)</t>
  </si>
  <si>
    <t>Approximate air temperature rise</t>
  </si>
  <si>
    <t>GTTD (Greatest Terminal Temperature Difference)</t>
  </si>
  <si>
    <t>LTTD (Least Terminal Temperature Difference)</t>
  </si>
  <si>
    <t>LMTD</t>
  </si>
  <si>
    <t>Air outlet temperature (t2)</t>
  </si>
  <si>
    <t>Ambient temperature (t1)</t>
  </si>
  <si>
    <t>Temperature in (T1)</t>
  </si>
  <si>
    <t>Temperature out (T2)</t>
  </si>
  <si>
    <t>Correction factor</t>
  </si>
  <si>
    <t>C LMTD</t>
  </si>
  <si>
    <t>ft2</t>
  </si>
  <si>
    <t>APSF (external area of fin tube)</t>
  </si>
  <si>
    <t xml:space="preserve">see Fig 10-11 </t>
  </si>
  <si>
    <t>Required surface area (Ax)</t>
  </si>
  <si>
    <t>Total face area of bundles (Fa)</t>
  </si>
  <si>
    <t>Unit width</t>
  </si>
  <si>
    <t>APF (total external area/ft of fintube)</t>
  </si>
  <si>
    <t>ft2/ft</t>
  </si>
  <si>
    <t>BWG tube</t>
  </si>
  <si>
    <t>see Fig 9-25</t>
  </si>
  <si>
    <t>in2</t>
  </si>
  <si>
    <t>Tube side mass velocity (Gt)</t>
  </si>
  <si>
    <t>Tube inside cross section area (At)</t>
  </si>
  <si>
    <t>Number of tubes (Nt)</t>
  </si>
  <si>
    <t>lb/(ft2-sec)</t>
  </si>
  <si>
    <t>Modified Reynold Number</t>
  </si>
  <si>
    <t>Thickness</t>
  </si>
  <si>
    <t>No of tube passes (Np)</t>
  </si>
  <si>
    <r>
      <t>Pressure drop tube side (</t>
    </r>
    <r>
      <rPr>
        <sz val="10"/>
        <color theme="1"/>
        <rFont val="Abadi"/>
        <family val="2"/>
      </rPr>
      <t>Δ</t>
    </r>
    <r>
      <rPr>
        <sz val="10"/>
        <color theme="1"/>
        <rFont val="Calibri"/>
        <family val="2"/>
      </rPr>
      <t>Pt)</t>
    </r>
  </si>
  <si>
    <t>Friction factor (f)</t>
  </si>
  <si>
    <t>Correction factor (Y)</t>
  </si>
  <si>
    <t>psi/ft</t>
  </si>
  <si>
    <t>see Fig 10-14</t>
  </si>
  <si>
    <t>API degree</t>
  </si>
  <si>
    <t>SG</t>
  </si>
  <si>
    <t>Correction factor (B)</t>
  </si>
  <si>
    <t>psi/tube passes</t>
  </si>
  <si>
    <t>Correction factor (teta)</t>
  </si>
  <si>
    <t>see Fig 10-19</t>
  </si>
  <si>
    <t>Tube-side film coefficient</t>
  </si>
  <si>
    <t>see Fig 10-15</t>
  </si>
  <si>
    <t>k (Cp miu/k)^(1/3)</t>
  </si>
  <si>
    <t>see Fig 10-13</t>
  </si>
  <si>
    <t>J factor</t>
  </si>
  <si>
    <t>see Fig 10-12</t>
  </si>
  <si>
    <t>Air Quantity (Wa)</t>
  </si>
  <si>
    <t>Air face mass velocity (Ga)</t>
  </si>
  <si>
    <t>lb/(hr-ft2 face area)</t>
  </si>
  <si>
    <t>see Fig 10-17</t>
  </si>
  <si>
    <t>Air-side film cofficient (ha)</t>
  </si>
  <si>
    <t>Ax/Ai</t>
  </si>
  <si>
    <t>AR (area ratio of fintubee compared to the exterior area of 1 in OD bare tube)</t>
  </si>
  <si>
    <t>ft2/ft2</t>
  </si>
  <si>
    <t>see Fig 10-11</t>
  </si>
  <si>
    <t>Fouling factor (r dt)</t>
  </si>
  <si>
    <t>1/Ux</t>
  </si>
  <si>
    <t>Ux</t>
  </si>
  <si>
    <t>Check</t>
  </si>
  <si>
    <t>1ST TRIAL</t>
  </si>
  <si>
    <t>2ND TRIAL</t>
  </si>
  <si>
    <t>Fan area per fan</t>
  </si>
  <si>
    <t>Fan diameter</t>
  </si>
  <si>
    <t>Average air temperature (Ta, avg)</t>
  </si>
  <si>
    <t>Pressure drop factor (Fp)</t>
  </si>
  <si>
    <t>Density ratio (DR)</t>
  </si>
  <si>
    <t xml:space="preserve">Air static pressure drop </t>
  </si>
  <si>
    <t>inH2O</t>
  </si>
  <si>
    <t>see Fig 10-18 (at average air temperature)</t>
  </si>
  <si>
    <t>see Fig 10-16 (at average air temperature)</t>
  </si>
  <si>
    <t>Density ratio (DR) at inlet temperature</t>
  </si>
  <si>
    <t>see Fig 10-16 (at inlet air temperature)</t>
  </si>
  <si>
    <t>Actual air volume</t>
  </si>
  <si>
    <t>acfm total</t>
  </si>
  <si>
    <t>acfm air per fan</t>
  </si>
  <si>
    <t>Fan total pressure drop</t>
  </si>
  <si>
    <t>Fan efficiency</t>
  </si>
  <si>
    <t>BHP per fan</t>
  </si>
  <si>
    <t>Speed reducer efficiency</t>
  </si>
  <si>
    <t>hp per fan</t>
  </si>
  <si>
    <t>Actual fan needed</t>
  </si>
  <si>
    <t>RESULT SUMMARY</t>
  </si>
  <si>
    <t>Air outlet temperature</t>
  </si>
  <si>
    <t>Corrected LMTD</t>
  </si>
  <si>
    <t>Finned Area</t>
  </si>
  <si>
    <t>Face area</t>
  </si>
  <si>
    <t>Air cooler width</t>
  </si>
  <si>
    <t>Tube Details</t>
  </si>
  <si>
    <t>CALCULATION</t>
  </si>
  <si>
    <t>R correction factor</t>
  </si>
  <si>
    <t>P correction factor</t>
  </si>
  <si>
    <t>see Fig 10-8 or Fig 10-9</t>
  </si>
  <si>
    <t>Fin height</t>
  </si>
  <si>
    <t>Tube layout</t>
  </si>
  <si>
    <t>Total tubes</t>
  </si>
  <si>
    <t>Tubes per row</t>
  </si>
  <si>
    <t>Power Detail</t>
  </si>
  <si>
    <t>Air flow rate</t>
  </si>
  <si>
    <t>Pressure drop</t>
  </si>
  <si>
    <t>Break power</t>
  </si>
  <si>
    <t>Motor power</t>
  </si>
  <si>
    <t>ea</t>
  </si>
  <si>
    <t>acfm</t>
  </si>
  <si>
    <t>bhp</t>
  </si>
  <si>
    <t>btu/(h-ft2-F)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</si>
</sst>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9" formatCode="0.0000"/>
  </numFmts>
  <fonts count="11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theme="1"/>
      <name val="Abadi"/>
      <family val="2"/>
    </font>
    <font>
      <sz val="10"/>
      <color theme="1"/>
      <name val="Calibri"/>
      <family val="2"/>
    </font>
    <font>
      <sz val="11"/>
      <color theme="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1" applyNumberFormat="0" applyAlignment="0" applyProtection="0"/>
    <xf numFmtId="0" fontId="5" fillId="0" borderId="3" applyNumberFormat="0" applyFill="0" applyAlignment="0" applyProtection="0"/>
  </cellStyleXfs>
  <cellXfs count="3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0" xfId="0" applyFont="1" applyFill="1"/>
    <xf numFmtId="0" fontId="1" fillId="2" borderId="1" xfId="1" applyAlignment="1">
      <alignment horizontal="center"/>
    </xf>
    <xf numFmtId="164" fontId="2" fillId="3" borderId="1" xfId="2" applyNumberFormat="1" applyAlignment="1">
      <alignment horizontal="center"/>
    </xf>
    <xf numFmtId="0" fontId="2" fillId="3" borderId="1" xfId="2" applyAlignment="1">
      <alignment horizontal="center"/>
    </xf>
    <xf numFmtId="3" fontId="1" fillId="2" borderId="1" xfId="1" applyNumberFormat="1" applyAlignment="1">
      <alignment horizontal="center"/>
    </xf>
    <xf numFmtId="3" fontId="2" fillId="3" borderId="1" xfId="2" applyNumberFormat="1" applyAlignment="1">
      <alignment horizontal="center"/>
    </xf>
    <xf numFmtId="0" fontId="1" fillId="2" borderId="1" xfId="1" applyNumberFormat="1" applyAlignment="1">
      <alignment horizontal="center"/>
    </xf>
    <xf numFmtId="2" fontId="2" fillId="3" borderId="1" xfId="2" applyNumberFormat="1" applyAlignment="1">
      <alignment horizontal="center"/>
    </xf>
    <xf numFmtId="0" fontId="4" fillId="0" borderId="2" xfId="0" applyFont="1" applyBorder="1" applyAlignment="1">
      <alignment wrapText="1"/>
    </xf>
    <xf numFmtId="0" fontId="3" fillId="4" borderId="0" xfId="0" applyFont="1" applyFill="1" applyAlignment="1">
      <alignment wrapText="1"/>
    </xf>
    <xf numFmtId="0" fontId="4" fillId="0" borderId="0" xfId="0" applyFont="1" applyAlignment="1">
      <alignment wrapText="1"/>
    </xf>
    <xf numFmtId="2" fontId="1" fillId="2" borderId="1" xfId="1" applyNumberFormat="1" applyAlignment="1">
      <alignment horizontal="center"/>
    </xf>
    <xf numFmtId="169" fontId="2" fillId="3" borderId="1" xfId="2" applyNumberFormat="1" applyAlignment="1">
      <alignment horizontal="center"/>
    </xf>
    <xf numFmtId="0" fontId="4" fillId="0" borderId="0" xfId="0" applyFont="1" applyBorder="1" applyAlignment="1">
      <alignment wrapText="1"/>
    </xf>
    <xf numFmtId="0" fontId="4" fillId="0" borderId="4" xfId="0" applyFont="1" applyBorder="1"/>
    <xf numFmtId="0" fontId="5" fillId="0" borderId="3" xfId="3"/>
    <xf numFmtId="0" fontId="8" fillId="0" borderId="3" xfId="3" applyFont="1"/>
    <xf numFmtId="2" fontId="8" fillId="0" borderId="3" xfId="3" applyNumberFormat="1" applyFont="1"/>
    <xf numFmtId="0" fontId="8" fillId="0" borderId="3" xfId="3" applyFont="1" applyAlignment="1">
      <alignment horizontal="center"/>
    </xf>
    <xf numFmtId="3" fontId="8" fillId="0" borderId="3" xfId="3" applyNumberFormat="1" applyFont="1"/>
    <xf numFmtId="0" fontId="9" fillId="0" borderId="0" xfId="0" applyFont="1"/>
    <xf numFmtId="0" fontId="10" fillId="0" borderId="0" xfId="0" applyFont="1"/>
    <xf numFmtId="0" fontId="5" fillId="0" borderId="3" xfId="3" applyFont="1"/>
    <xf numFmtId="1" fontId="8" fillId="0" borderId="3" xfId="3" applyNumberFormat="1" applyFont="1"/>
    <xf numFmtId="1" fontId="2" fillId="3" borderId="1" xfId="2" applyNumberFormat="1" applyAlignment="1">
      <alignment horizontal="center"/>
    </xf>
  </cellXfs>
  <cellStyles count="4">
    <cellStyle name="Calculation" xfId="2" builtinId="22"/>
    <cellStyle name="Heading 3" xfId="3" builtinId="18"/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16</xdr:col>
      <xdr:colOff>151162</xdr:colOff>
      <xdr:row>67</xdr:row>
      <xdr:rowOff>65072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347B92-E267-46E8-8A6E-4686480E8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9904762" cy="12819047"/>
        </a:xfrm>
        <a:prstGeom prst="rect">
          <a:avLst/>
        </a:prstGeom>
      </xdr:spPr>
    </xdr:pic>
    <xdr:clientData/>
  </xdr:twoCellAnchor>
  <xdr:twoCellAnchor>
    <xdr:from>
      <xdr:col>4</xdr:col>
      <xdr:colOff>571500</xdr:colOff>
      <xdr:row>38</xdr:row>
      <xdr:rowOff>47625</xdr:rowOff>
    </xdr:from>
    <xdr:to>
      <xdr:col>5</xdr:col>
      <xdr:colOff>323850</xdr:colOff>
      <xdr:row>39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BE37734-8B56-435E-8FE6-8174B355660E}"/>
            </a:ext>
          </a:extLst>
        </xdr:cNvPr>
        <xdr:cNvSpPr/>
      </xdr:nvSpPr>
      <xdr:spPr>
        <a:xfrm>
          <a:off x="3009900" y="7286625"/>
          <a:ext cx="361950" cy="14287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104775</xdr:rowOff>
    </xdr:from>
    <xdr:to>
      <xdr:col>8</xdr:col>
      <xdr:colOff>475618</xdr:colOff>
      <xdr:row>25</xdr:row>
      <xdr:rowOff>8942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5A7794-06C8-40E1-A40A-1D148BAF7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104775"/>
          <a:ext cx="5057143" cy="4666667"/>
        </a:xfrm>
        <a:prstGeom prst="rect">
          <a:avLst/>
        </a:prstGeom>
      </xdr:spPr>
    </xdr:pic>
    <xdr:clientData/>
  </xdr:twoCellAnchor>
  <xdr:twoCellAnchor>
    <xdr:from>
      <xdr:col>4</xdr:col>
      <xdr:colOff>133350</xdr:colOff>
      <xdr:row>10</xdr:row>
      <xdr:rowOff>61911</xdr:rowOff>
    </xdr:from>
    <xdr:to>
      <xdr:col>4</xdr:col>
      <xdr:colOff>133350</xdr:colOff>
      <xdr:row>19</xdr:row>
      <xdr:rowOff>85725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65084746-0081-4466-A530-5ECABBA5F499}"/>
            </a:ext>
          </a:extLst>
        </xdr:cNvPr>
        <xdr:cNvCxnSpPr/>
      </xdr:nvCxnSpPr>
      <xdr:spPr>
        <a:xfrm>
          <a:off x="2571750" y="1966911"/>
          <a:ext cx="0" cy="1738314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457200</xdr:colOff>
      <xdr:row>10</xdr:row>
      <xdr:rowOff>47625</xdr:rowOff>
    </xdr:from>
    <xdr:to>
      <xdr:col>4</xdr:col>
      <xdr:colOff>152400</xdr:colOff>
      <xdr:row>10</xdr:row>
      <xdr:rowOff>47625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29019794-6919-4716-A395-9DD5C2C63FA4}"/>
            </a:ext>
          </a:extLst>
        </xdr:cNvPr>
        <xdr:cNvCxnSpPr/>
      </xdr:nvCxnSpPr>
      <xdr:spPr>
        <a:xfrm>
          <a:off x="1066800" y="1952625"/>
          <a:ext cx="15240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466725</xdr:colOff>
      <xdr:row>11</xdr:row>
      <xdr:rowOff>85725</xdr:rowOff>
    </xdr:from>
    <xdr:to>
      <xdr:col>4</xdr:col>
      <xdr:colOff>390525</xdr:colOff>
      <xdr:row>11</xdr:row>
      <xdr:rowOff>85725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D276850E-8712-4A0A-96D4-E166E63FD39D}"/>
            </a:ext>
          </a:extLst>
        </xdr:cNvPr>
        <xdr:cNvCxnSpPr/>
      </xdr:nvCxnSpPr>
      <xdr:spPr>
        <a:xfrm>
          <a:off x="1076325" y="2181225"/>
          <a:ext cx="17526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11</xdr:row>
      <xdr:rowOff>61911</xdr:rowOff>
    </xdr:from>
    <xdr:to>
      <xdr:col>4</xdr:col>
      <xdr:colOff>371475</xdr:colOff>
      <xdr:row>19</xdr:row>
      <xdr:rowOff>104775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7E08E8A3-A2AE-4B15-A52C-C8EAE27BE6E0}"/>
            </a:ext>
          </a:extLst>
        </xdr:cNvPr>
        <xdr:cNvCxnSpPr/>
      </xdr:nvCxnSpPr>
      <xdr:spPr>
        <a:xfrm>
          <a:off x="2809875" y="2157411"/>
          <a:ext cx="0" cy="1566864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</xdr:row>
      <xdr:rowOff>0</xdr:rowOff>
    </xdr:from>
    <xdr:to>
      <xdr:col>8</xdr:col>
      <xdr:colOff>561356</xdr:colOff>
      <xdr:row>28</xdr:row>
      <xdr:rowOff>85095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89AB87-6E26-4B03-A9EF-84B3C897A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381000"/>
          <a:ext cx="4952381" cy="5038095"/>
        </a:xfrm>
        <a:prstGeom prst="rect">
          <a:avLst/>
        </a:prstGeom>
      </xdr:spPr>
    </xdr:pic>
    <xdr:clientData/>
  </xdr:twoCellAnchor>
  <xdr:twoCellAnchor>
    <xdr:from>
      <xdr:col>5</xdr:col>
      <xdr:colOff>209550</xdr:colOff>
      <xdr:row>14</xdr:row>
      <xdr:rowOff>123825</xdr:rowOff>
    </xdr:from>
    <xdr:to>
      <xdr:col>5</xdr:col>
      <xdr:colOff>209550</xdr:colOff>
      <xdr:row>19</xdr:row>
      <xdr:rowOff>152403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39BDAA02-9A4F-4D6D-B501-1A95F8EDAD21}"/>
            </a:ext>
          </a:extLst>
        </xdr:cNvPr>
        <xdr:cNvCxnSpPr/>
      </xdr:nvCxnSpPr>
      <xdr:spPr>
        <a:xfrm flipV="1">
          <a:off x="3257550" y="2790825"/>
          <a:ext cx="0" cy="981078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14</xdr:row>
      <xdr:rowOff>119064</xdr:rowOff>
    </xdr:from>
    <xdr:to>
      <xdr:col>5</xdr:col>
      <xdr:colOff>204789</xdr:colOff>
      <xdr:row>14</xdr:row>
      <xdr:rowOff>119064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65685B2D-AFFC-4735-9137-17283D01208B}"/>
            </a:ext>
          </a:extLst>
        </xdr:cNvPr>
        <xdr:cNvCxnSpPr/>
      </xdr:nvCxnSpPr>
      <xdr:spPr>
        <a:xfrm flipH="1">
          <a:off x="1552575" y="2786064"/>
          <a:ext cx="1700214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114300</xdr:rowOff>
    </xdr:from>
    <xdr:to>
      <xdr:col>8</xdr:col>
      <xdr:colOff>56629</xdr:colOff>
      <xdr:row>26</xdr:row>
      <xdr:rowOff>85133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08EAEE-F0FF-443B-8346-BA989B017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304800"/>
          <a:ext cx="4171429" cy="4733333"/>
        </a:xfrm>
        <a:prstGeom prst="rect">
          <a:avLst/>
        </a:prstGeom>
      </xdr:spPr>
    </xdr:pic>
    <xdr:clientData/>
  </xdr:twoCellAnchor>
  <xdr:twoCellAnchor>
    <xdr:from>
      <xdr:col>5</xdr:col>
      <xdr:colOff>285750</xdr:colOff>
      <xdr:row>12</xdr:row>
      <xdr:rowOff>142875</xdr:rowOff>
    </xdr:from>
    <xdr:to>
      <xdr:col>5</xdr:col>
      <xdr:colOff>285750</xdr:colOff>
      <xdr:row>21</xdr:row>
      <xdr:rowOff>128589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F6CB6435-26AA-410F-8143-EA6FF77C6E82}"/>
            </a:ext>
          </a:extLst>
        </xdr:cNvPr>
        <xdr:cNvCxnSpPr/>
      </xdr:nvCxnSpPr>
      <xdr:spPr>
        <a:xfrm flipV="1">
          <a:off x="3333750" y="2428875"/>
          <a:ext cx="0" cy="1700214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152400</xdr:colOff>
      <xdr:row>12</xdr:row>
      <xdr:rowOff>161925</xdr:rowOff>
    </xdr:from>
    <xdr:to>
      <xdr:col>5</xdr:col>
      <xdr:colOff>300039</xdr:colOff>
      <xdr:row>12</xdr:row>
      <xdr:rowOff>161925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7F5AD42C-93DA-43A4-8A28-F5F3B2827882}"/>
            </a:ext>
          </a:extLst>
        </xdr:cNvPr>
        <xdr:cNvCxnSpPr/>
      </xdr:nvCxnSpPr>
      <xdr:spPr>
        <a:xfrm flipH="1">
          <a:off x="1981200" y="2447925"/>
          <a:ext cx="1366839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161925</xdr:rowOff>
    </xdr:from>
    <xdr:to>
      <xdr:col>11</xdr:col>
      <xdr:colOff>418275</xdr:colOff>
      <xdr:row>26</xdr:row>
      <xdr:rowOff>151782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C22C4D-CB54-4175-BA7F-346344F7C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161925"/>
          <a:ext cx="6600000" cy="49428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1</xdr:row>
      <xdr:rowOff>66675</xdr:rowOff>
    </xdr:from>
    <xdr:to>
      <xdr:col>14</xdr:col>
      <xdr:colOff>427576</xdr:colOff>
      <xdr:row>28</xdr:row>
      <xdr:rowOff>75556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2D26C8-84E7-4079-9D36-9DA85D71E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257175"/>
          <a:ext cx="8390476" cy="51523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57150</xdr:rowOff>
    </xdr:from>
    <xdr:to>
      <xdr:col>14</xdr:col>
      <xdr:colOff>408544</xdr:colOff>
      <xdr:row>27</xdr:row>
      <xdr:rowOff>94602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1E09DA-5074-4584-B2D1-5A62A40E1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25" y="57150"/>
          <a:ext cx="8247619" cy="5180952"/>
        </a:xfrm>
        <a:prstGeom prst="rect">
          <a:avLst/>
        </a:prstGeom>
      </xdr:spPr>
    </xdr:pic>
    <xdr:clientData/>
  </xdr:twoCellAnchor>
  <xdr:twoCellAnchor>
    <xdr:from>
      <xdr:col>6</xdr:col>
      <xdr:colOff>302345</xdr:colOff>
      <xdr:row>10</xdr:row>
      <xdr:rowOff>95250</xdr:rowOff>
    </xdr:from>
    <xdr:to>
      <xdr:col>6</xdr:col>
      <xdr:colOff>302345</xdr:colOff>
      <xdr:row>23</xdr:row>
      <xdr:rowOff>23449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B54D0FC9-0729-4523-ABC4-A7BDE11BC04F}"/>
            </a:ext>
          </a:extLst>
        </xdr:cNvPr>
        <xdr:cNvCxnSpPr/>
      </xdr:nvCxnSpPr>
      <xdr:spPr>
        <a:xfrm flipV="1">
          <a:off x="3959945" y="2000250"/>
          <a:ext cx="0" cy="2404699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581025</xdr:colOff>
      <xdr:row>10</xdr:row>
      <xdr:rowOff>106973</xdr:rowOff>
    </xdr:from>
    <xdr:to>
      <xdr:col>6</xdr:col>
      <xdr:colOff>292820</xdr:colOff>
      <xdr:row>10</xdr:row>
      <xdr:rowOff>106973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F32CA045-4050-403C-ACFF-2D82BBE0EB68}"/>
            </a:ext>
          </a:extLst>
        </xdr:cNvPr>
        <xdr:cNvCxnSpPr/>
      </xdr:nvCxnSpPr>
      <xdr:spPr>
        <a:xfrm flipH="1">
          <a:off x="2409825" y="2011973"/>
          <a:ext cx="1540595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8</xdr:col>
      <xdr:colOff>95250</xdr:colOff>
      <xdr:row>65</xdr:row>
      <xdr:rowOff>122289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86254C-FB0D-45DC-AA62-2EDBA778FD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7636"/>
        <a:stretch/>
      </xdr:blipFill>
      <xdr:spPr>
        <a:xfrm>
          <a:off x="0" y="219075"/>
          <a:ext cx="4972050" cy="12285714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22</xdr:row>
      <xdr:rowOff>76200</xdr:rowOff>
    </xdr:from>
    <xdr:to>
      <xdr:col>7</xdr:col>
      <xdr:colOff>400050</xdr:colOff>
      <xdr:row>23</xdr:row>
      <xdr:rowOff>123825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C186DCF-A5E0-4ED2-8B91-9D402525456B}"/>
            </a:ext>
          </a:extLst>
        </xdr:cNvPr>
        <xdr:cNvSpPr/>
      </xdr:nvSpPr>
      <xdr:spPr>
        <a:xfrm>
          <a:off x="4305300" y="4267200"/>
          <a:ext cx="361950" cy="23812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161925</xdr:rowOff>
    </xdr:from>
    <xdr:to>
      <xdr:col>13</xdr:col>
      <xdr:colOff>541887</xdr:colOff>
      <xdr:row>17</xdr:row>
      <xdr:rowOff>104401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32EA14-AF8E-4B16-B226-2C8ECED1F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352425"/>
          <a:ext cx="8304762" cy="2990476"/>
        </a:xfrm>
        <a:prstGeom prst="rect">
          <a:avLst/>
        </a:prstGeom>
      </xdr:spPr>
    </xdr:pic>
    <xdr:clientData/>
  </xdr:twoCellAnchor>
  <xdr:twoCellAnchor>
    <xdr:from>
      <xdr:col>12</xdr:col>
      <xdr:colOff>9525</xdr:colOff>
      <xdr:row>10</xdr:row>
      <xdr:rowOff>66675</xdr:rowOff>
    </xdr:from>
    <xdr:to>
      <xdr:col>12</xdr:col>
      <xdr:colOff>371475</xdr:colOff>
      <xdr:row>11</xdr:row>
      <xdr:rowOff>114300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8A924FC-9CB5-4391-946A-7BD7AE242928}"/>
            </a:ext>
          </a:extLst>
        </xdr:cNvPr>
        <xdr:cNvSpPr/>
      </xdr:nvSpPr>
      <xdr:spPr>
        <a:xfrm>
          <a:off x="7324725" y="1971675"/>
          <a:ext cx="361950" cy="23812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10</xdr:col>
      <xdr:colOff>104775</xdr:colOff>
      <xdr:row>6</xdr:row>
      <xdr:rowOff>0</xdr:rowOff>
    </xdr:from>
    <xdr:to>
      <xdr:col>10</xdr:col>
      <xdr:colOff>466725</xdr:colOff>
      <xdr:row>8</xdr:row>
      <xdr:rowOff>47625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50E020B-93B5-40E8-9ECA-8ED0042D7F51}"/>
            </a:ext>
          </a:extLst>
        </xdr:cNvPr>
        <xdr:cNvSpPr/>
      </xdr:nvSpPr>
      <xdr:spPr>
        <a:xfrm>
          <a:off x="6200775" y="1143000"/>
          <a:ext cx="361950" cy="42862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66675</xdr:rowOff>
    </xdr:from>
    <xdr:to>
      <xdr:col>12</xdr:col>
      <xdr:colOff>608657</xdr:colOff>
      <xdr:row>31</xdr:row>
      <xdr:rowOff>180246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886946-7F97-499A-8EA8-95C12F681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257175"/>
          <a:ext cx="7542857" cy="5828571"/>
        </a:xfrm>
        <a:prstGeom prst="rect">
          <a:avLst/>
        </a:prstGeom>
      </xdr:spPr>
    </xdr:pic>
    <xdr:clientData/>
  </xdr:twoCellAnchor>
  <xdr:twoCellAnchor>
    <xdr:from>
      <xdr:col>8</xdr:col>
      <xdr:colOff>285750</xdr:colOff>
      <xdr:row>14</xdr:row>
      <xdr:rowOff>114300</xdr:rowOff>
    </xdr:from>
    <xdr:to>
      <xdr:col>8</xdr:col>
      <xdr:colOff>285750</xdr:colOff>
      <xdr:row>22</xdr:row>
      <xdr:rowOff>88657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C2C0C5F4-F2ED-4BE4-9724-AAF02816068A}"/>
            </a:ext>
          </a:extLst>
        </xdr:cNvPr>
        <xdr:cNvCxnSpPr/>
      </xdr:nvCxnSpPr>
      <xdr:spPr>
        <a:xfrm flipV="1">
          <a:off x="5162550" y="2781300"/>
          <a:ext cx="0" cy="1498357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314326</xdr:colOff>
      <xdr:row>14</xdr:row>
      <xdr:rowOff>142875</xdr:rowOff>
    </xdr:from>
    <xdr:to>
      <xdr:col>8</xdr:col>
      <xdr:colOff>304800</xdr:colOff>
      <xdr:row>14</xdr:row>
      <xdr:rowOff>142875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4CB0113B-88BF-48EE-98FE-AD1A64804C3B}"/>
            </a:ext>
          </a:extLst>
        </xdr:cNvPr>
        <xdr:cNvCxnSpPr/>
      </xdr:nvCxnSpPr>
      <xdr:spPr>
        <a:xfrm flipH="1">
          <a:off x="2143126" y="2809875"/>
          <a:ext cx="3038474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114300</xdr:rowOff>
    </xdr:from>
    <xdr:to>
      <xdr:col>15</xdr:col>
      <xdr:colOff>446488</xdr:colOff>
      <xdr:row>65</xdr:row>
      <xdr:rowOff>17514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6506F2-9259-4858-B4DE-DC56CDEEB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14300"/>
          <a:ext cx="9495238" cy="1228571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39</xdr:row>
      <xdr:rowOff>0</xdr:rowOff>
    </xdr:from>
    <xdr:to>
      <xdr:col>8</xdr:col>
      <xdr:colOff>361950</xdr:colOff>
      <xdr:row>51</xdr:row>
      <xdr:rowOff>38100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E73BEADD-AF22-4C98-8019-08B60E350FB7}"/>
            </a:ext>
          </a:extLst>
        </xdr:cNvPr>
        <xdr:cNvCxnSpPr/>
      </xdr:nvCxnSpPr>
      <xdr:spPr>
        <a:xfrm flipV="1">
          <a:off x="5265254" y="7429500"/>
          <a:ext cx="0" cy="2324100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95250</xdr:colOff>
      <xdr:row>0</xdr:row>
      <xdr:rowOff>114300</xdr:rowOff>
    </xdr:from>
    <xdr:to>
      <xdr:col>0</xdr:col>
      <xdr:colOff>95250</xdr:colOff>
      <xdr:row>12</xdr:row>
      <xdr:rowOff>152400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BDA45731-00FF-42CB-BF5E-297EC6230169}"/>
            </a:ext>
          </a:extLst>
        </xdr:cNvPr>
        <xdr:cNvCxnSpPr/>
      </xdr:nvCxnSpPr>
      <xdr:spPr>
        <a:xfrm flipV="1">
          <a:off x="95250" y="114300"/>
          <a:ext cx="0" cy="2324100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281609</xdr:colOff>
      <xdr:row>39</xdr:row>
      <xdr:rowOff>5797</xdr:rowOff>
    </xdr:from>
    <xdr:to>
      <xdr:col>8</xdr:col>
      <xdr:colOff>334617</xdr:colOff>
      <xdr:row>39</xdr:row>
      <xdr:rowOff>5797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39EC4A7C-29A4-4A62-8716-A2495C9BDF98}"/>
            </a:ext>
          </a:extLst>
        </xdr:cNvPr>
        <xdr:cNvCxnSpPr/>
      </xdr:nvCxnSpPr>
      <xdr:spPr>
        <a:xfrm flipH="1">
          <a:off x="1507435" y="7435297"/>
          <a:ext cx="3730486" cy="0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20</xdr:col>
      <xdr:colOff>179439</xdr:colOff>
      <xdr:row>50</xdr:row>
      <xdr:rowOff>8338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68B145-551E-4DC9-8C95-80904FA6C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38100"/>
          <a:ext cx="12238089" cy="9495238"/>
        </a:xfrm>
        <a:prstGeom prst="rect">
          <a:avLst/>
        </a:prstGeom>
      </xdr:spPr>
    </xdr:pic>
    <xdr:clientData/>
  </xdr:twoCellAnchor>
  <xdr:twoCellAnchor>
    <xdr:from>
      <xdr:col>12</xdr:col>
      <xdr:colOff>161193</xdr:colOff>
      <xdr:row>26</xdr:row>
      <xdr:rowOff>7327</xdr:rowOff>
    </xdr:from>
    <xdr:to>
      <xdr:col>12</xdr:col>
      <xdr:colOff>161193</xdr:colOff>
      <xdr:row>37</xdr:row>
      <xdr:rowOff>124559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2DE9A333-BCC8-4B32-ABAA-20481E6716F9}"/>
            </a:ext>
          </a:extLst>
        </xdr:cNvPr>
        <xdr:cNvCxnSpPr/>
      </xdr:nvCxnSpPr>
      <xdr:spPr>
        <a:xfrm flipV="1">
          <a:off x="7458808" y="4960327"/>
          <a:ext cx="0" cy="2212732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83345</xdr:colOff>
      <xdr:row>26</xdr:row>
      <xdr:rowOff>14654</xdr:rowOff>
    </xdr:from>
    <xdr:to>
      <xdr:col>17</xdr:col>
      <xdr:colOff>124558</xdr:colOff>
      <xdr:row>26</xdr:row>
      <xdr:rowOff>14654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ECAA8854-058E-4054-9933-DEFCE34A67EE}"/>
            </a:ext>
          </a:extLst>
        </xdr:cNvPr>
        <xdr:cNvCxnSpPr/>
      </xdr:nvCxnSpPr>
      <xdr:spPr>
        <a:xfrm flipH="1">
          <a:off x="1907749" y="4967654"/>
          <a:ext cx="8555097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523875</xdr:colOff>
      <xdr:row>35</xdr:row>
      <xdr:rowOff>65485</xdr:rowOff>
    </xdr:from>
    <xdr:ext cx="256160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81709A13-A6E1-4B8D-8674-6071FE0B61FE}"/>
            </a:ext>
          </a:extLst>
        </xdr:cNvPr>
        <xdr:cNvSpPr txBox="1"/>
      </xdr:nvSpPr>
      <xdr:spPr>
        <a:xfrm>
          <a:off x="1738313" y="673298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2</a:t>
          </a:r>
        </a:p>
      </xdr:txBody>
    </xdr:sp>
    <xdr:clientData/>
  </xdr:oneCellAnchor>
  <xdr:oneCellAnchor>
    <xdr:from>
      <xdr:col>2</xdr:col>
      <xdr:colOff>521494</xdr:colOff>
      <xdr:row>34</xdr:row>
      <xdr:rowOff>33338</xdr:rowOff>
    </xdr:from>
    <xdr:ext cx="256160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A5ED6959-01A9-44E1-A50F-97F4B1965249}"/>
            </a:ext>
          </a:extLst>
        </xdr:cNvPr>
        <xdr:cNvSpPr txBox="1"/>
      </xdr:nvSpPr>
      <xdr:spPr>
        <a:xfrm>
          <a:off x="1735932" y="6510338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3</a:t>
          </a:r>
        </a:p>
      </xdr:txBody>
    </xdr:sp>
    <xdr:clientData/>
  </xdr:oneCellAnchor>
  <xdr:oneCellAnchor>
    <xdr:from>
      <xdr:col>2</xdr:col>
      <xdr:colOff>507207</xdr:colOff>
      <xdr:row>32</xdr:row>
      <xdr:rowOff>102394</xdr:rowOff>
    </xdr:from>
    <xdr:ext cx="256160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78BD6152-62E2-469C-A413-CF7BCA86DFBF}"/>
            </a:ext>
          </a:extLst>
        </xdr:cNvPr>
        <xdr:cNvSpPr txBox="1"/>
      </xdr:nvSpPr>
      <xdr:spPr>
        <a:xfrm>
          <a:off x="1721645" y="6198394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4</a:t>
          </a:r>
        </a:p>
      </xdr:txBody>
    </xdr:sp>
    <xdr:clientData/>
  </xdr:oneCellAnchor>
  <xdr:oneCellAnchor>
    <xdr:from>
      <xdr:col>2</xdr:col>
      <xdr:colOff>504826</xdr:colOff>
      <xdr:row>31</xdr:row>
      <xdr:rowOff>64294</xdr:rowOff>
    </xdr:from>
    <xdr:ext cx="256160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6D54143D-CF6D-4E96-A024-96BE965450DA}"/>
            </a:ext>
          </a:extLst>
        </xdr:cNvPr>
        <xdr:cNvSpPr txBox="1"/>
      </xdr:nvSpPr>
      <xdr:spPr>
        <a:xfrm>
          <a:off x="1719264" y="5969794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4</a:t>
          </a:r>
        </a:p>
      </xdr:txBody>
    </xdr:sp>
    <xdr:clientData/>
  </xdr:oneCellAnchor>
  <xdr:oneCellAnchor>
    <xdr:from>
      <xdr:col>2</xdr:col>
      <xdr:colOff>508398</xdr:colOff>
      <xdr:row>30</xdr:row>
      <xdr:rowOff>85726</xdr:rowOff>
    </xdr:from>
    <xdr:ext cx="256160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1EE12EAB-4CE1-43CC-BEE5-F639B20B1CB0}"/>
            </a:ext>
          </a:extLst>
        </xdr:cNvPr>
        <xdr:cNvSpPr txBox="1"/>
      </xdr:nvSpPr>
      <xdr:spPr>
        <a:xfrm>
          <a:off x="1722836" y="5800726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6</a:t>
          </a:r>
        </a:p>
      </xdr:txBody>
    </xdr:sp>
    <xdr:clientData/>
  </xdr:oneCellAnchor>
  <xdr:oneCellAnchor>
    <xdr:from>
      <xdr:col>2</xdr:col>
      <xdr:colOff>511970</xdr:colOff>
      <xdr:row>29</xdr:row>
      <xdr:rowOff>148829</xdr:rowOff>
    </xdr:from>
    <xdr:ext cx="256160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9C7E656A-9704-4FDE-A785-B3C404B5FB9A}"/>
            </a:ext>
          </a:extLst>
        </xdr:cNvPr>
        <xdr:cNvSpPr txBox="1"/>
      </xdr:nvSpPr>
      <xdr:spPr>
        <a:xfrm>
          <a:off x="1726408" y="5673329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7</a:t>
          </a:r>
        </a:p>
      </xdr:txBody>
    </xdr:sp>
    <xdr:clientData/>
  </xdr:oneCellAnchor>
  <xdr:oneCellAnchor>
    <xdr:from>
      <xdr:col>2</xdr:col>
      <xdr:colOff>515541</xdr:colOff>
      <xdr:row>29</xdr:row>
      <xdr:rowOff>21432</xdr:rowOff>
    </xdr:from>
    <xdr:ext cx="256160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413D2CBB-4C8C-424A-8D4A-6E84C08D010B}"/>
            </a:ext>
          </a:extLst>
        </xdr:cNvPr>
        <xdr:cNvSpPr txBox="1"/>
      </xdr:nvSpPr>
      <xdr:spPr>
        <a:xfrm>
          <a:off x="1729979" y="5545932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8</a:t>
          </a:r>
        </a:p>
      </xdr:txBody>
    </xdr:sp>
    <xdr:clientData/>
  </xdr:oneCellAnchor>
  <xdr:oneCellAnchor>
    <xdr:from>
      <xdr:col>2</xdr:col>
      <xdr:colOff>507207</xdr:colOff>
      <xdr:row>28</xdr:row>
      <xdr:rowOff>102395</xdr:rowOff>
    </xdr:from>
    <xdr:ext cx="256160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F14E2F86-5D51-4FB8-887A-31622616374A}"/>
            </a:ext>
          </a:extLst>
        </xdr:cNvPr>
        <xdr:cNvSpPr txBox="1"/>
      </xdr:nvSpPr>
      <xdr:spPr>
        <a:xfrm>
          <a:off x="1721645" y="543639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9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1</xdr:row>
      <xdr:rowOff>161925</xdr:rowOff>
    </xdr:from>
    <xdr:to>
      <xdr:col>25</xdr:col>
      <xdr:colOff>93364</xdr:colOff>
      <xdr:row>63</xdr:row>
      <xdr:rowOff>8068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8F9C37-89F6-45D5-83EF-EC6805719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352425"/>
          <a:ext cx="15085714" cy="11657143"/>
        </a:xfrm>
        <a:prstGeom prst="rect">
          <a:avLst/>
        </a:prstGeom>
      </xdr:spPr>
    </xdr:pic>
    <xdr:clientData/>
  </xdr:twoCellAnchor>
  <xdr:twoCellAnchor>
    <xdr:from>
      <xdr:col>19</xdr:col>
      <xdr:colOff>533400</xdr:colOff>
      <xdr:row>22</xdr:row>
      <xdr:rowOff>76200</xdr:rowOff>
    </xdr:from>
    <xdr:to>
      <xdr:col>19</xdr:col>
      <xdr:colOff>533400</xdr:colOff>
      <xdr:row>45</xdr:row>
      <xdr:rowOff>133351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2335939D-F5E7-4723-88B9-F3F4DFA8D693}"/>
            </a:ext>
          </a:extLst>
        </xdr:cNvPr>
        <xdr:cNvCxnSpPr/>
      </xdr:nvCxnSpPr>
      <xdr:spPr>
        <a:xfrm flipV="1">
          <a:off x="12115800" y="4267200"/>
          <a:ext cx="0" cy="4438651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76201</xdr:rowOff>
    </xdr:from>
    <xdr:to>
      <xdr:col>19</xdr:col>
      <xdr:colOff>533403</xdr:colOff>
      <xdr:row>22</xdr:row>
      <xdr:rowOff>76201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5F8953E6-D836-458E-AD50-238EE977F7FE}"/>
            </a:ext>
          </a:extLst>
        </xdr:cNvPr>
        <xdr:cNvCxnSpPr/>
      </xdr:nvCxnSpPr>
      <xdr:spPr>
        <a:xfrm flipH="1">
          <a:off x="3048000" y="4267201"/>
          <a:ext cx="9067803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4232-C20B-4222-A589-A626BDF1669D}">
  <sheetPr>
    <tabColor rgb="FFFFFF00"/>
  </sheetPr>
  <dimension ref="B2:D27"/>
  <sheetViews>
    <sheetView showGridLines="0" workbookViewId="0">
      <selection activeCell="E11" sqref="E11"/>
    </sheetView>
  </sheetViews>
  <sheetFormatPr defaultRowHeight="12.75" x14ac:dyDescent="0.2"/>
  <cols>
    <col min="1" max="1" width="9.140625" style="1"/>
    <col min="2" max="2" width="25.42578125" style="1" bestFit="1" customWidth="1"/>
    <col min="3" max="3" width="8" style="2" customWidth="1"/>
    <col min="4" max="4" width="10.140625" style="1" bestFit="1" customWidth="1"/>
    <col min="5" max="16384" width="9.140625" style="1"/>
  </cols>
  <sheetData>
    <row r="2" spans="2:4" ht="21" x14ac:dyDescent="0.35">
      <c r="B2" s="27" t="s">
        <v>121</v>
      </c>
    </row>
    <row r="5" spans="2:4" ht="15.75" thickBot="1" x14ac:dyDescent="0.3">
      <c r="B5" s="28" t="s">
        <v>122</v>
      </c>
      <c r="C5" s="24" t="s">
        <v>3</v>
      </c>
      <c r="D5" s="23">
        <f>Calc!E37</f>
        <v>151.66402311752068</v>
      </c>
    </row>
    <row r="6" spans="2:4" ht="15.75" thickBot="1" x14ac:dyDescent="0.3">
      <c r="B6" s="28" t="s">
        <v>44</v>
      </c>
      <c r="C6" s="24" t="s">
        <v>3</v>
      </c>
      <c r="D6" s="23">
        <f>Calc!E40</f>
        <v>71.464132315848786</v>
      </c>
    </row>
    <row r="7" spans="2:4" ht="15.75" thickBot="1" x14ac:dyDescent="0.3">
      <c r="B7" s="28" t="s">
        <v>49</v>
      </c>
      <c r="C7" s="24" t="s">
        <v>3</v>
      </c>
      <c r="D7" s="22">
        <f>Calc!E43</f>
        <v>1</v>
      </c>
    </row>
    <row r="8" spans="2:4" ht="15.75" thickBot="1" x14ac:dyDescent="0.3">
      <c r="B8" s="28" t="s">
        <v>123</v>
      </c>
      <c r="C8" s="24" t="s">
        <v>3</v>
      </c>
      <c r="D8" s="23">
        <f>D7*D6</f>
        <v>71.464132315848786</v>
      </c>
    </row>
    <row r="9" spans="2:4" ht="15.75" thickBot="1" x14ac:dyDescent="0.3">
      <c r="B9" s="28" t="s">
        <v>124</v>
      </c>
      <c r="C9" s="24" t="s">
        <v>51</v>
      </c>
      <c r="D9" s="25">
        <f>Calc!E47*Calc!E46</f>
        <v>50428.495089362303</v>
      </c>
    </row>
    <row r="10" spans="2:4" ht="15.75" thickBot="1" x14ac:dyDescent="0.3">
      <c r="B10" s="28" t="s">
        <v>125</v>
      </c>
      <c r="C10" s="24" t="s">
        <v>51</v>
      </c>
      <c r="D10" s="23">
        <f>Calc!E47</f>
        <v>470.41506613211101</v>
      </c>
    </row>
    <row r="11" spans="2:4" ht="15.75" thickBot="1" x14ac:dyDescent="0.3">
      <c r="B11" s="28" t="s">
        <v>126</v>
      </c>
      <c r="C11" s="24"/>
      <c r="D11" s="23">
        <f>Calc!E48</f>
        <v>15.6805022044037</v>
      </c>
    </row>
    <row r="13" spans="2:4" ht="18.75" x14ac:dyDescent="0.3">
      <c r="B13" s="26" t="s">
        <v>127</v>
      </c>
    </row>
    <row r="14" spans="2:4" ht="18.75" x14ac:dyDescent="0.3">
      <c r="B14" s="26"/>
    </row>
    <row r="15" spans="2:4" ht="15.75" thickBot="1" x14ac:dyDescent="0.3">
      <c r="B15" s="28" t="s">
        <v>30</v>
      </c>
      <c r="C15" s="24" t="s">
        <v>31</v>
      </c>
      <c r="D15" s="22">
        <f>Calc!E26</f>
        <v>1</v>
      </c>
    </row>
    <row r="16" spans="2:4" ht="15.75" thickBot="1" x14ac:dyDescent="0.3">
      <c r="B16" s="28" t="s">
        <v>132</v>
      </c>
      <c r="C16" s="24" t="s">
        <v>31</v>
      </c>
      <c r="D16" s="22">
        <f>Calc!E27</f>
        <v>0.625</v>
      </c>
    </row>
    <row r="17" spans="2:4" ht="15.75" thickBot="1" x14ac:dyDescent="0.3">
      <c r="B17" s="28" t="s">
        <v>133</v>
      </c>
      <c r="C17" s="24"/>
      <c r="D17" s="22" t="str">
        <f>Calc!E29</f>
        <v>Triangular</v>
      </c>
    </row>
    <row r="18" spans="2:4" ht="15.75" thickBot="1" x14ac:dyDescent="0.3">
      <c r="B18" s="28" t="s">
        <v>33</v>
      </c>
      <c r="C18" s="24" t="s">
        <v>31</v>
      </c>
      <c r="D18" s="22">
        <f>Calc!E28</f>
        <v>2.5</v>
      </c>
    </row>
    <row r="19" spans="2:4" ht="15.75" thickBot="1" x14ac:dyDescent="0.3">
      <c r="B19" s="28" t="s">
        <v>134</v>
      </c>
      <c r="C19" s="24" t="s">
        <v>141</v>
      </c>
      <c r="D19" s="29">
        <f>Calc!E50</f>
        <v>301.24549037850835</v>
      </c>
    </row>
    <row r="20" spans="2:4" ht="15.75" thickBot="1" x14ac:dyDescent="0.3">
      <c r="B20" s="28" t="s">
        <v>135</v>
      </c>
      <c r="C20" s="24" t="s">
        <v>141</v>
      </c>
      <c r="D20" s="29">
        <f>D19/Calc!E31</f>
        <v>75.311372594627088</v>
      </c>
    </row>
    <row r="22" spans="2:4" ht="21" x14ac:dyDescent="0.35">
      <c r="B22" s="27" t="s">
        <v>136</v>
      </c>
    </row>
    <row r="23" spans="2:4" ht="21" x14ac:dyDescent="0.35">
      <c r="B23" s="27"/>
    </row>
    <row r="24" spans="2:4" ht="15.75" thickBot="1" x14ac:dyDescent="0.3">
      <c r="B24" s="21" t="s">
        <v>137</v>
      </c>
      <c r="C24" s="24" t="s">
        <v>142</v>
      </c>
      <c r="D24" s="25">
        <f>Calc!E84</f>
        <v>283641.12513727031</v>
      </c>
    </row>
    <row r="25" spans="2:4" ht="15.75" thickBot="1" x14ac:dyDescent="0.3">
      <c r="B25" s="21" t="s">
        <v>138</v>
      </c>
      <c r="C25" s="24" t="s">
        <v>107</v>
      </c>
      <c r="D25" s="23">
        <f>Calc!E87</f>
        <v>0.57902258875101631</v>
      </c>
    </row>
    <row r="26" spans="2:4" ht="15.75" thickBot="1" x14ac:dyDescent="0.3">
      <c r="B26" s="21" t="s">
        <v>139</v>
      </c>
      <c r="C26" s="24" t="s">
        <v>143</v>
      </c>
      <c r="D26" s="23">
        <f>Calc!E90*Calc!E25</f>
        <v>36.913291952088741</v>
      </c>
    </row>
    <row r="27" spans="2:4" ht="15.75" thickBot="1" x14ac:dyDescent="0.3">
      <c r="B27" s="21" t="s">
        <v>140</v>
      </c>
      <c r="C27" s="24" t="s">
        <v>143</v>
      </c>
      <c r="D27" s="23">
        <f>Calc!E93*Calc!E25</f>
        <v>40.123143426183411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7EB47-A685-48B6-9CC8-545D047F0C95}">
  <dimension ref="A1"/>
  <sheetViews>
    <sheetView topLeftCell="A19" zoomScale="130" zoomScaleNormal="130" workbookViewId="0">
      <selection activeCell="A32" sqref="A3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BBF31-CC86-4B6A-81FC-D02D6990D9AA}">
  <dimension ref="A1"/>
  <sheetViews>
    <sheetView topLeftCell="A19" workbookViewId="0">
      <selection activeCell="G14" sqref="G1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14292-F13C-478F-82BC-E84DDD177D94}">
  <dimension ref="A1"/>
  <sheetViews>
    <sheetView showGridLines="0" workbookViewId="0">
      <selection activeCell="K20" sqref="K2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FFDE9-9EDA-442D-9313-9D3D66FC509A}">
  <dimension ref="A1"/>
  <sheetViews>
    <sheetView workbookViewId="0">
      <selection activeCell="R12" sqref="R1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F6CD4-D43C-46E2-A85A-BD1C56D703B9}">
  <dimension ref="A1"/>
  <sheetViews>
    <sheetView tabSelected="1" topLeftCell="A7" workbookViewId="0">
      <selection activeCell="K21" sqref="K2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0C3C0-B9E8-45DF-BAAC-E3FDB4399F91}">
  <dimension ref="A1"/>
  <sheetViews>
    <sheetView topLeftCell="A34" workbookViewId="0">
      <selection activeCell="G6" sqref="G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E6A7C-DC77-4298-90C3-F54C328CB05D}">
  <sheetPr>
    <tabColor rgb="FFFF0000"/>
  </sheetPr>
  <dimension ref="B2:F93"/>
  <sheetViews>
    <sheetView showGridLines="0" topLeftCell="A7" workbookViewId="0">
      <selection activeCell="D84" sqref="D84:E85"/>
    </sheetView>
  </sheetViews>
  <sheetFormatPr defaultRowHeight="12.75" x14ac:dyDescent="0.2"/>
  <cols>
    <col min="1" max="1" width="6.85546875" style="1" customWidth="1"/>
    <col min="2" max="2" width="33.5703125" style="16" customWidth="1"/>
    <col min="3" max="3" width="16.7109375" style="2" bestFit="1" customWidth="1"/>
    <col min="4" max="4" width="25.140625" style="2" bestFit="1" customWidth="1"/>
    <col min="5" max="5" width="25.140625" style="2" customWidth="1"/>
    <col min="6" max="6" width="35.5703125" style="1" bestFit="1" customWidth="1"/>
    <col min="7" max="16384" width="9.140625" style="1"/>
  </cols>
  <sheetData>
    <row r="2" spans="2:6" ht="15" x14ac:dyDescent="0.25">
      <c r="B2" s="15" t="s">
        <v>0</v>
      </c>
      <c r="C2" s="5"/>
      <c r="D2" s="5" t="s">
        <v>99</v>
      </c>
      <c r="E2" s="5" t="s">
        <v>100</v>
      </c>
      <c r="F2" s="6"/>
    </row>
    <row r="3" spans="2:6" ht="15" x14ac:dyDescent="0.25">
      <c r="B3" s="14" t="s">
        <v>1</v>
      </c>
      <c r="C3" s="4"/>
      <c r="D3" s="7" t="s">
        <v>2</v>
      </c>
      <c r="E3" s="7" t="str">
        <f>D3</f>
        <v>48o API hydrocarbon liquid</v>
      </c>
      <c r="F3" s="3"/>
    </row>
    <row r="4" spans="2:6" ht="15" x14ac:dyDescent="0.25">
      <c r="B4" s="14" t="s">
        <v>74</v>
      </c>
      <c r="C4" s="4"/>
      <c r="D4" s="7">
        <v>48</v>
      </c>
      <c r="E4" s="7">
        <f>D4</f>
        <v>48</v>
      </c>
      <c r="F4" s="3"/>
    </row>
    <row r="5" spans="2:6" ht="15" x14ac:dyDescent="0.25">
      <c r="B5" s="14" t="s">
        <v>75</v>
      </c>
      <c r="C5" s="4"/>
      <c r="D5" s="8">
        <f>141.5/(D4+131.5)</f>
        <v>0.78830083565459608</v>
      </c>
      <c r="E5" s="8">
        <f>141.5/(E4+131.5)</f>
        <v>0.78830083565459608</v>
      </c>
      <c r="F5" s="3"/>
    </row>
    <row r="6" spans="2:6" ht="15" x14ac:dyDescent="0.25">
      <c r="B6" s="14" t="s">
        <v>47</v>
      </c>
      <c r="C6" s="4" t="s">
        <v>3</v>
      </c>
      <c r="D6" s="7">
        <v>250</v>
      </c>
      <c r="E6" s="7">
        <f>D6</f>
        <v>250</v>
      </c>
      <c r="F6" s="3"/>
    </row>
    <row r="7" spans="2:6" ht="15" x14ac:dyDescent="0.25">
      <c r="B7" s="14" t="s">
        <v>48</v>
      </c>
      <c r="C7" s="4" t="s">
        <v>3</v>
      </c>
      <c r="D7" s="7">
        <v>150</v>
      </c>
      <c r="E7" s="7">
        <f>D7</f>
        <v>150</v>
      </c>
      <c r="F7" s="3"/>
    </row>
    <row r="8" spans="2:6" ht="15" x14ac:dyDescent="0.25">
      <c r="B8" s="14" t="s">
        <v>4</v>
      </c>
      <c r="C8" s="4" t="s">
        <v>3</v>
      </c>
      <c r="D8" s="9">
        <f>AVERAGE(D6:D7)</f>
        <v>200</v>
      </c>
      <c r="E8" s="9">
        <f>AVERAGE(E6:E7)</f>
        <v>200</v>
      </c>
      <c r="F8" s="3"/>
    </row>
    <row r="9" spans="2:6" ht="15" x14ac:dyDescent="0.25">
      <c r="B9" s="14" t="s">
        <v>5</v>
      </c>
      <c r="C9" s="4" t="s">
        <v>6</v>
      </c>
      <c r="D9" s="7">
        <v>0.55000000000000004</v>
      </c>
      <c r="E9" s="7">
        <f>D9</f>
        <v>0.55000000000000004</v>
      </c>
      <c r="F9" s="3" t="s">
        <v>9</v>
      </c>
    </row>
    <row r="10" spans="2:6" ht="15" x14ac:dyDescent="0.25">
      <c r="B10" s="14" t="s">
        <v>7</v>
      </c>
      <c r="C10" s="4" t="s">
        <v>8</v>
      </c>
      <c r="D10" s="7">
        <v>0.51</v>
      </c>
      <c r="E10" s="7">
        <f t="shared" ref="E10:E12" si="0">D10</f>
        <v>0.51</v>
      </c>
      <c r="F10" s="3" t="s">
        <v>9</v>
      </c>
    </row>
    <row r="11" spans="2:6" ht="15" x14ac:dyDescent="0.25">
      <c r="B11" s="14" t="s">
        <v>10</v>
      </c>
      <c r="C11" s="4" t="s">
        <v>11</v>
      </c>
      <c r="D11" s="7">
        <v>7.6600000000000001E-2</v>
      </c>
      <c r="E11" s="7">
        <f t="shared" si="0"/>
        <v>7.6600000000000001E-2</v>
      </c>
      <c r="F11" s="3"/>
    </row>
    <row r="12" spans="2:6" ht="15" x14ac:dyDescent="0.25">
      <c r="B12" s="14" t="s">
        <v>12</v>
      </c>
      <c r="C12" s="4" t="s">
        <v>13</v>
      </c>
      <c r="D12" s="10">
        <v>273000</v>
      </c>
      <c r="E12" s="7">
        <f t="shared" si="0"/>
        <v>273000</v>
      </c>
      <c r="F12" s="3"/>
    </row>
    <row r="13" spans="2:6" ht="15" x14ac:dyDescent="0.25">
      <c r="B13" s="14" t="s">
        <v>14</v>
      </c>
      <c r="C13" s="4" t="s">
        <v>15</v>
      </c>
      <c r="D13" s="11">
        <f>D12*D9*(D6-D7)</f>
        <v>15015000</v>
      </c>
      <c r="E13" s="11">
        <f>E12*E9*(E6-E7)</f>
        <v>15015000</v>
      </c>
      <c r="F13" s="3"/>
    </row>
    <row r="14" spans="2:6" ht="15" x14ac:dyDescent="0.25">
      <c r="B14" s="14" t="s">
        <v>95</v>
      </c>
      <c r="C14" s="4" t="s">
        <v>16</v>
      </c>
      <c r="D14" s="7">
        <v>1E-3</v>
      </c>
      <c r="E14" s="7">
        <f>D14</f>
        <v>1E-3</v>
      </c>
      <c r="F14" s="3"/>
    </row>
    <row r="15" spans="2:6" ht="15" x14ac:dyDescent="0.25">
      <c r="B15" s="14" t="s">
        <v>17</v>
      </c>
      <c r="C15" s="4" t="s">
        <v>18</v>
      </c>
      <c r="D15" s="7">
        <v>5</v>
      </c>
      <c r="E15" s="7">
        <f>D15</f>
        <v>5</v>
      </c>
      <c r="F15" s="3"/>
    </row>
    <row r="17" spans="2:6" ht="15" x14ac:dyDescent="0.25">
      <c r="B17" s="15" t="s">
        <v>19</v>
      </c>
      <c r="C17" s="5"/>
      <c r="D17" s="5"/>
      <c r="E17" s="5"/>
      <c r="F17" s="6"/>
    </row>
    <row r="18" spans="2:6" ht="15" x14ac:dyDescent="0.25">
      <c r="B18" s="14" t="s">
        <v>46</v>
      </c>
      <c r="C18" s="4" t="s">
        <v>3</v>
      </c>
      <c r="D18" s="7">
        <v>100</v>
      </c>
      <c r="E18" s="7">
        <f>D18</f>
        <v>100</v>
      </c>
      <c r="F18" s="3"/>
    </row>
    <row r="19" spans="2:6" ht="15" x14ac:dyDescent="0.25">
      <c r="B19" s="14" t="s">
        <v>20</v>
      </c>
      <c r="C19" s="4" t="s">
        <v>21</v>
      </c>
      <c r="D19" s="7" t="s">
        <v>22</v>
      </c>
      <c r="E19" s="7" t="str">
        <f t="shared" ref="E19:E21" si="1">D19</f>
        <v>sea level</v>
      </c>
      <c r="F19" s="3"/>
    </row>
    <row r="20" spans="2:6" ht="15" x14ac:dyDescent="0.25">
      <c r="B20" s="14" t="s">
        <v>23</v>
      </c>
      <c r="C20" s="4"/>
      <c r="D20" s="7">
        <v>1</v>
      </c>
      <c r="E20" s="7">
        <f t="shared" si="1"/>
        <v>1</v>
      </c>
      <c r="F20" s="3" t="s">
        <v>38</v>
      </c>
    </row>
    <row r="21" spans="2:6" ht="15" x14ac:dyDescent="0.25">
      <c r="B21" s="14" t="s">
        <v>24</v>
      </c>
      <c r="C21" s="4" t="s">
        <v>25</v>
      </c>
      <c r="D21" s="7">
        <v>0.24</v>
      </c>
      <c r="E21" s="7">
        <f t="shared" si="1"/>
        <v>0.24</v>
      </c>
      <c r="F21" s="3"/>
    </row>
    <row r="23" spans="2:6" ht="15" x14ac:dyDescent="0.25">
      <c r="B23" s="15" t="s">
        <v>26</v>
      </c>
      <c r="C23" s="5"/>
      <c r="D23" s="5"/>
      <c r="E23" s="5"/>
      <c r="F23" s="6"/>
    </row>
    <row r="24" spans="2:6" ht="15" x14ac:dyDescent="0.25">
      <c r="B24" s="14" t="s">
        <v>27</v>
      </c>
      <c r="C24" s="4"/>
      <c r="D24" s="7" t="s">
        <v>28</v>
      </c>
      <c r="E24" s="7" t="str">
        <f>D24</f>
        <v>Forced-draft</v>
      </c>
      <c r="F24" s="3"/>
    </row>
    <row r="25" spans="2:6" ht="15" x14ac:dyDescent="0.25">
      <c r="B25" s="14" t="s">
        <v>29</v>
      </c>
      <c r="C25" s="4"/>
      <c r="D25" s="7">
        <v>2</v>
      </c>
      <c r="E25" s="7">
        <f t="shared" ref="E25:E32" si="2">D25</f>
        <v>2</v>
      </c>
      <c r="F25" s="3"/>
    </row>
    <row r="26" spans="2:6" ht="15" x14ac:dyDescent="0.25">
      <c r="B26" s="14" t="s">
        <v>30</v>
      </c>
      <c r="C26" s="4" t="s">
        <v>31</v>
      </c>
      <c r="D26" s="7">
        <v>1</v>
      </c>
      <c r="E26" s="7">
        <f t="shared" si="2"/>
        <v>1</v>
      </c>
      <c r="F26" s="3"/>
    </row>
    <row r="27" spans="2:6" ht="15" x14ac:dyDescent="0.25">
      <c r="B27" s="14" t="s">
        <v>32</v>
      </c>
      <c r="C27" s="4" t="s">
        <v>31</v>
      </c>
      <c r="D27" s="12">
        <f>5/8</f>
        <v>0.625</v>
      </c>
      <c r="E27" s="7">
        <f t="shared" si="2"/>
        <v>0.625</v>
      </c>
      <c r="F27" s="3"/>
    </row>
    <row r="28" spans="2:6" ht="15" x14ac:dyDescent="0.25">
      <c r="B28" s="14" t="s">
        <v>33</v>
      </c>
      <c r="C28" s="4" t="s">
        <v>31</v>
      </c>
      <c r="D28" s="12">
        <v>2.5</v>
      </c>
      <c r="E28" s="7">
        <f t="shared" si="2"/>
        <v>2.5</v>
      </c>
      <c r="F28" s="3"/>
    </row>
    <row r="29" spans="2:6" ht="15" x14ac:dyDescent="0.25">
      <c r="B29" s="14" t="s">
        <v>34</v>
      </c>
      <c r="C29" s="4"/>
      <c r="D29" s="12" t="s">
        <v>35</v>
      </c>
      <c r="E29" s="7" t="str">
        <f t="shared" si="2"/>
        <v>Triangular</v>
      </c>
      <c r="F29" s="3"/>
    </row>
    <row r="30" spans="2:6" ht="15" x14ac:dyDescent="0.25">
      <c r="B30" s="14" t="s">
        <v>68</v>
      </c>
      <c r="C30" s="4"/>
      <c r="D30" s="12">
        <v>3</v>
      </c>
      <c r="E30" s="7">
        <f t="shared" si="2"/>
        <v>3</v>
      </c>
      <c r="F30" s="3"/>
    </row>
    <row r="31" spans="2:6" ht="15" x14ac:dyDescent="0.25">
      <c r="B31" s="14" t="s">
        <v>36</v>
      </c>
      <c r="C31" s="4"/>
      <c r="D31" s="12">
        <v>4</v>
      </c>
      <c r="E31" s="7">
        <f t="shared" si="2"/>
        <v>4</v>
      </c>
      <c r="F31" s="3"/>
    </row>
    <row r="32" spans="2:6" ht="15" x14ac:dyDescent="0.25">
      <c r="B32" s="14" t="s">
        <v>37</v>
      </c>
      <c r="C32" s="4" t="s">
        <v>21</v>
      </c>
      <c r="D32" s="12">
        <v>30</v>
      </c>
      <c r="E32" s="7">
        <f t="shared" si="2"/>
        <v>30</v>
      </c>
      <c r="F32" s="3"/>
    </row>
    <row r="34" spans="2:6" ht="15" x14ac:dyDescent="0.25">
      <c r="B34" s="15" t="s">
        <v>128</v>
      </c>
      <c r="C34" s="5"/>
      <c r="D34" s="5"/>
      <c r="E34" s="5"/>
      <c r="F34" s="6"/>
    </row>
    <row r="35" spans="2:6" ht="15" x14ac:dyDescent="0.25">
      <c r="B35" s="14" t="s">
        <v>40</v>
      </c>
      <c r="C35" s="4" t="s">
        <v>144</v>
      </c>
      <c r="D35" s="7">
        <v>4.2</v>
      </c>
      <c r="E35" s="17">
        <f>D72</f>
        <v>4.1664023117520674</v>
      </c>
      <c r="F35" s="3" t="s">
        <v>39</v>
      </c>
    </row>
    <row r="36" spans="2:6" ht="15" x14ac:dyDescent="0.25">
      <c r="B36" s="14" t="s">
        <v>41</v>
      </c>
      <c r="C36" s="4" t="s">
        <v>3</v>
      </c>
      <c r="D36" s="9">
        <f>(D35+1)/10*((D6+D7)/2-D18)</f>
        <v>52</v>
      </c>
      <c r="E36" s="13">
        <f>(E35+1)/10*((E6+E7)/2-E18)</f>
        <v>51.664023117520671</v>
      </c>
      <c r="F36" s="3"/>
    </row>
    <row r="37" spans="2:6" ht="15" x14ac:dyDescent="0.25">
      <c r="B37" s="14" t="s">
        <v>45</v>
      </c>
      <c r="C37" s="4" t="s">
        <v>3</v>
      </c>
      <c r="D37" s="9">
        <f>D36+D18</f>
        <v>152</v>
      </c>
      <c r="E37" s="13">
        <f>E36+E18</f>
        <v>151.66402311752068</v>
      </c>
      <c r="F37" s="3"/>
    </row>
    <row r="38" spans="2:6" ht="26.25" x14ac:dyDescent="0.25">
      <c r="B38" s="14" t="s">
        <v>42</v>
      </c>
      <c r="C38" s="4" t="s">
        <v>3</v>
      </c>
      <c r="D38" s="9">
        <f>D6-D37</f>
        <v>98</v>
      </c>
      <c r="E38" s="13">
        <f>E6-E37</f>
        <v>98.335976882479315</v>
      </c>
      <c r="F38" s="3"/>
    </row>
    <row r="39" spans="2:6" ht="26.25" x14ac:dyDescent="0.25">
      <c r="B39" s="14" t="s">
        <v>43</v>
      </c>
      <c r="C39" s="4" t="s">
        <v>3</v>
      </c>
      <c r="D39" s="9">
        <f>D7-D18</f>
        <v>50</v>
      </c>
      <c r="E39" s="9">
        <f>E7-E18</f>
        <v>50</v>
      </c>
      <c r="F39" s="3"/>
    </row>
    <row r="40" spans="2:6" ht="15" x14ac:dyDescent="0.25">
      <c r="B40" s="14" t="s">
        <v>44</v>
      </c>
      <c r="C40" s="4" t="s">
        <v>3</v>
      </c>
      <c r="D40" s="8">
        <f>(D38-D39)/LN(D38/D39)</f>
        <v>71.328321887723078</v>
      </c>
      <c r="E40" s="13">
        <f>(E38-E39)/LN(E38/E39)</f>
        <v>71.464132315848786</v>
      </c>
      <c r="F40" s="3"/>
    </row>
    <row r="41" spans="2:6" ht="15" x14ac:dyDescent="0.25">
      <c r="B41" s="14" t="s">
        <v>129</v>
      </c>
      <c r="C41" s="4"/>
      <c r="D41" s="8">
        <f>(D6-D7)/(D37-D18)</f>
        <v>1.9230769230769231</v>
      </c>
      <c r="E41" s="8">
        <f>(E6-E7)/(E37-E18)</f>
        <v>1.9355829059717045</v>
      </c>
      <c r="F41" s="3"/>
    </row>
    <row r="42" spans="2:6" ht="15" x14ac:dyDescent="0.25">
      <c r="B42" s="14" t="s">
        <v>130</v>
      </c>
      <c r="C42" s="4"/>
      <c r="D42" s="8">
        <f>(D37-D18)/(D6-D18)</f>
        <v>0.34666666666666668</v>
      </c>
      <c r="E42" s="8">
        <f>(E37-E18)/(E6-E18)</f>
        <v>0.34442682078347125</v>
      </c>
      <c r="F42" s="3"/>
    </row>
    <row r="43" spans="2:6" ht="15" x14ac:dyDescent="0.25">
      <c r="B43" s="14" t="s">
        <v>49</v>
      </c>
      <c r="C43" s="4"/>
      <c r="D43" s="7">
        <v>1</v>
      </c>
      <c r="E43" s="7">
        <f>D43</f>
        <v>1</v>
      </c>
      <c r="F43" s="3" t="s">
        <v>131</v>
      </c>
    </row>
    <row r="44" spans="2:6" ht="15" x14ac:dyDescent="0.25">
      <c r="B44" s="14" t="s">
        <v>50</v>
      </c>
      <c r="C44" s="4"/>
      <c r="D44" s="13">
        <f>D40*D43</f>
        <v>71.328321887723078</v>
      </c>
      <c r="E44" s="13">
        <f>E40*E43</f>
        <v>71.464132315848786</v>
      </c>
      <c r="F44" s="3"/>
    </row>
    <row r="45" spans="2:6" ht="15" x14ac:dyDescent="0.25">
      <c r="B45" s="14" t="s">
        <v>54</v>
      </c>
      <c r="C45" s="4" t="s">
        <v>51</v>
      </c>
      <c r="D45" s="13">
        <f>D13/(D35*D44)</f>
        <v>50120.343580034838</v>
      </c>
      <c r="E45" s="13">
        <f>E13/(E35*E44)</f>
        <v>50428.495089362303</v>
      </c>
      <c r="F45" s="3"/>
    </row>
    <row r="46" spans="2:6" ht="15" x14ac:dyDescent="0.25">
      <c r="B46" s="14" t="s">
        <v>52</v>
      </c>
      <c r="C46" s="4"/>
      <c r="D46" s="7">
        <v>107.2</v>
      </c>
      <c r="E46" s="7">
        <f>D46</f>
        <v>107.2</v>
      </c>
      <c r="F46" s="3" t="s">
        <v>53</v>
      </c>
    </row>
    <row r="47" spans="2:6" ht="15" x14ac:dyDescent="0.25">
      <c r="B47" s="14" t="s">
        <v>55</v>
      </c>
      <c r="C47" s="4" t="s">
        <v>51</v>
      </c>
      <c r="D47" s="13">
        <f>D45/D46</f>
        <v>467.54051847047424</v>
      </c>
      <c r="E47" s="13">
        <f>E45/E46</f>
        <v>470.41506613211101</v>
      </c>
      <c r="F47" s="3"/>
    </row>
    <row r="48" spans="2:6" ht="15" x14ac:dyDescent="0.25">
      <c r="B48" s="14" t="s">
        <v>56</v>
      </c>
      <c r="C48" s="4" t="s">
        <v>21</v>
      </c>
      <c r="D48" s="13">
        <f>D47/D32</f>
        <v>15.584683949015808</v>
      </c>
      <c r="E48" s="13">
        <f>E47/E32</f>
        <v>15.6805022044037</v>
      </c>
      <c r="F48" s="3"/>
    </row>
    <row r="49" spans="2:6" ht="15" x14ac:dyDescent="0.25">
      <c r="B49" s="14" t="s">
        <v>57</v>
      </c>
      <c r="C49" s="4" t="s">
        <v>58</v>
      </c>
      <c r="D49" s="7">
        <v>5.58</v>
      </c>
      <c r="E49" s="7">
        <f>D49</f>
        <v>5.58</v>
      </c>
      <c r="F49" s="3" t="s">
        <v>53</v>
      </c>
    </row>
    <row r="50" spans="2:6" ht="15" x14ac:dyDescent="0.25">
      <c r="B50" s="14" t="s">
        <v>64</v>
      </c>
      <c r="C50" s="4"/>
      <c r="D50" s="13">
        <f>D45/(D49*D32)</f>
        <v>299.404680884318</v>
      </c>
      <c r="E50" s="13">
        <f>E45/(E49*E32)</f>
        <v>301.24549037850835</v>
      </c>
      <c r="F50" s="3"/>
    </row>
    <row r="51" spans="2:6" ht="15" x14ac:dyDescent="0.25">
      <c r="B51" s="14" t="s">
        <v>59</v>
      </c>
      <c r="C51" s="4"/>
      <c r="D51" s="7">
        <v>16</v>
      </c>
      <c r="E51" s="7">
        <f>D51</f>
        <v>16</v>
      </c>
      <c r="F51" s="3"/>
    </row>
    <row r="52" spans="2:6" ht="15" x14ac:dyDescent="0.25">
      <c r="B52" s="14" t="s">
        <v>63</v>
      </c>
      <c r="C52" s="4" t="s">
        <v>61</v>
      </c>
      <c r="D52" s="7">
        <v>0.59450000000000003</v>
      </c>
      <c r="E52" s="7">
        <f t="shared" ref="E52:E53" si="3">D52</f>
        <v>0.59450000000000003</v>
      </c>
      <c r="F52" s="3" t="s">
        <v>60</v>
      </c>
    </row>
    <row r="53" spans="2:6" ht="15" x14ac:dyDescent="0.25">
      <c r="B53" s="14" t="s">
        <v>67</v>
      </c>
      <c r="C53" s="4" t="s">
        <v>61</v>
      </c>
      <c r="D53" s="7">
        <v>6.5000000000000002E-2</v>
      </c>
      <c r="E53" s="7">
        <f t="shared" si="3"/>
        <v>6.5000000000000002E-2</v>
      </c>
      <c r="F53" s="3" t="s">
        <v>60</v>
      </c>
    </row>
    <row r="54" spans="2:6" ht="15" x14ac:dyDescent="0.25">
      <c r="B54" s="14" t="s">
        <v>62</v>
      </c>
      <c r="C54" s="4" t="s">
        <v>65</v>
      </c>
      <c r="D54" s="13">
        <f>144*D12*D30/(3600*D50*D52)</f>
        <v>184.0489941536338</v>
      </c>
      <c r="E54" s="13">
        <f>144*E12*E30/(3600*E50*E52)</f>
        <v>182.92433288349</v>
      </c>
      <c r="F54" s="3"/>
    </row>
    <row r="55" spans="2:6" ht="15" x14ac:dyDescent="0.25">
      <c r="B55" s="14" t="s">
        <v>66</v>
      </c>
      <c r="C55" s="4"/>
      <c r="D55" s="13">
        <f>(D20-2*D53)*D54/D10</f>
        <v>313.96593120325764</v>
      </c>
      <c r="E55" s="13">
        <f>(E20-2*E53)*E54/E10</f>
        <v>312.04739138948293</v>
      </c>
      <c r="F55" s="3"/>
    </row>
    <row r="56" spans="2:6" ht="15" x14ac:dyDescent="0.25">
      <c r="B56" s="14" t="s">
        <v>70</v>
      </c>
      <c r="C56" s="4"/>
      <c r="D56" s="7">
        <v>3.0000000000000001E-3</v>
      </c>
      <c r="E56" s="7">
        <f>D56</f>
        <v>3.0000000000000001E-3</v>
      </c>
      <c r="F56" s="3" t="s">
        <v>85</v>
      </c>
    </row>
    <row r="57" spans="2:6" ht="15" x14ac:dyDescent="0.25">
      <c r="B57" s="14" t="s">
        <v>71</v>
      </c>
      <c r="C57" s="4" t="s">
        <v>72</v>
      </c>
      <c r="D57" s="7">
        <v>14.5</v>
      </c>
      <c r="E57" s="7">
        <f t="shared" ref="E57:E59" si="4">D57</f>
        <v>14.5</v>
      </c>
      <c r="F57" s="3" t="s">
        <v>73</v>
      </c>
    </row>
    <row r="58" spans="2:6" ht="15" x14ac:dyDescent="0.25">
      <c r="B58" s="14" t="s">
        <v>76</v>
      </c>
      <c r="C58" s="4" t="s">
        <v>77</v>
      </c>
      <c r="D58" s="7">
        <v>0.25</v>
      </c>
      <c r="E58" s="7">
        <f t="shared" si="4"/>
        <v>0.25</v>
      </c>
      <c r="F58" s="3" t="s">
        <v>73</v>
      </c>
    </row>
    <row r="59" spans="2:6" ht="15" x14ac:dyDescent="0.25">
      <c r="B59" s="14" t="s">
        <v>78</v>
      </c>
      <c r="C59" s="4"/>
      <c r="D59" s="7">
        <v>0.96</v>
      </c>
      <c r="E59" s="7">
        <f t="shared" si="4"/>
        <v>0.96</v>
      </c>
      <c r="F59" s="3" t="s">
        <v>79</v>
      </c>
    </row>
    <row r="60" spans="2:6" ht="15" x14ac:dyDescent="0.25">
      <c r="B60" s="14" t="s">
        <v>69</v>
      </c>
      <c r="C60" s="4" t="s">
        <v>18</v>
      </c>
      <c r="D60" s="13">
        <f>D56*D57*D32*D30/D59+D58*D30</f>
        <v>4.8281250000000009</v>
      </c>
      <c r="E60" s="13">
        <f>E56*E57*E32*E30/E59+E58*E30</f>
        <v>4.8281250000000009</v>
      </c>
      <c r="F60" s="3"/>
    </row>
    <row r="61" spans="2:6" ht="15" x14ac:dyDescent="0.25">
      <c r="B61" s="14" t="s">
        <v>82</v>
      </c>
      <c r="C61" s="4"/>
      <c r="D61" s="7">
        <v>0.12</v>
      </c>
      <c r="E61" s="7">
        <f>D61</f>
        <v>0.12</v>
      </c>
      <c r="F61" s="3" t="s">
        <v>83</v>
      </c>
    </row>
    <row r="62" spans="2:6" ht="15" x14ac:dyDescent="0.25">
      <c r="B62" s="14" t="s">
        <v>84</v>
      </c>
      <c r="C62" s="4"/>
      <c r="D62" s="7">
        <v>1900</v>
      </c>
      <c r="E62" s="7">
        <f>D62</f>
        <v>1900</v>
      </c>
      <c r="F62" s="3" t="s">
        <v>81</v>
      </c>
    </row>
    <row r="63" spans="2:6" ht="15" x14ac:dyDescent="0.25">
      <c r="B63" s="14" t="s">
        <v>80</v>
      </c>
      <c r="C63" s="4"/>
      <c r="D63" s="13">
        <f>D62*D61*D59/(D20-2*D53)</f>
        <v>251.58620689655172</v>
      </c>
      <c r="E63" s="13">
        <f>E62*E61*E59/(E20-2*E53)</f>
        <v>251.58620689655172</v>
      </c>
      <c r="F63" s="3"/>
    </row>
    <row r="65" spans="2:6" ht="15" x14ac:dyDescent="0.25">
      <c r="B65" s="14" t="s">
        <v>86</v>
      </c>
      <c r="C65" s="4" t="s">
        <v>13</v>
      </c>
      <c r="D65" s="13">
        <f>D13/(0.24*D36)</f>
        <v>1203125</v>
      </c>
      <c r="E65" s="13">
        <f>E13/(0.24*E36)</f>
        <v>1210949.055548548</v>
      </c>
      <c r="F65" s="3"/>
    </row>
    <row r="66" spans="2:6" ht="15" x14ac:dyDescent="0.25">
      <c r="B66" s="14" t="s">
        <v>87</v>
      </c>
      <c r="C66" s="4" t="s">
        <v>88</v>
      </c>
      <c r="D66" s="13">
        <f>D65/D47</f>
        <v>2573.3063819493941</v>
      </c>
      <c r="E66" s="13">
        <f>E65/E47</f>
        <v>2574.2140138183117</v>
      </c>
      <c r="F66" s="3"/>
    </row>
    <row r="67" spans="2:6" ht="15" x14ac:dyDescent="0.25">
      <c r="B67" s="14" t="s">
        <v>90</v>
      </c>
      <c r="C67" s="4"/>
      <c r="D67" s="7">
        <v>8.5</v>
      </c>
      <c r="E67" s="7">
        <f>D67</f>
        <v>8.5</v>
      </c>
      <c r="F67" s="3" t="s">
        <v>89</v>
      </c>
    </row>
    <row r="69" spans="2:6" ht="26.25" x14ac:dyDescent="0.25">
      <c r="B69" s="14" t="s">
        <v>92</v>
      </c>
      <c r="C69" s="4" t="s">
        <v>93</v>
      </c>
      <c r="D69" s="7">
        <v>21.4</v>
      </c>
      <c r="E69" s="7">
        <f>D69</f>
        <v>21.4</v>
      </c>
      <c r="F69" s="3" t="s">
        <v>94</v>
      </c>
    </row>
    <row r="70" spans="2:6" ht="15" x14ac:dyDescent="0.25">
      <c r="B70" s="14" t="s">
        <v>91</v>
      </c>
      <c r="C70" s="4"/>
      <c r="D70" s="13">
        <f>D69*D20/(D20-2*D53)</f>
        <v>24.597701149425287</v>
      </c>
      <c r="E70" s="13">
        <f>E69*E20/(E20-2*E53)</f>
        <v>24.597701149425287</v>
      </c>
      <c r="F70" s="3"/>
    </row>
    <row r="71" spans="2:6" ht="15" x14ac:dyDescent="0.25">
      <c r="B71" s="14" t="s">
        <v>96</v>
      </c>
      <c r="C71" s="4"/>
      <c r="D71" s="13">
        <f>(1/D63)*(D70)+D14*D70+(1/D67)</f>
        <v>0.24001522780921203</v>
      </c>
      <c r="E71" s="13">
        <f>(1/E63)*(E70)+E14*E70+(1/E67)</f>
        <v>0.24001522780921203</v>
      </c>
      <c r="F71" s="3"/>
    </row>
    <row r="72" spans="2:6" ht="15" x14ac:dyDescent="0.25">
      <c r="B72" s="14" t="s">
        <v>97</v>
      </c>
      <c r="C72" s="4"/>
      <c r="D72" s="13">
        <f>1/D71</f>
        <v>4.1664023117520674</v>
      </c>
      <c r="E72" s="13">
        <f>1/E71</f>
        <v>4.1664023117520674</v>
      </c>
      <c r="F72" s="3"/>
    </row>
    <row r="74" spans="2:6" ht="15" x14ac:dyDescent="0.25">
      <c r="B74" s="14" t="s">
        <v>98</v>
      </c>
      <c r="C74" s="4"/>
      <c r="D74" s="18">
        <f>D72-D35</f>
        <v>-3.3597688247932744E-2</v>
      </c>
      <c r="E74" s="18">
        <f>E72-E35</f>
        <v>0</v>
      </c>
      <c r="F74" s="3"/>
    </row>
    <row r="75" spans="2:6" ht="15" x14ac:dyDescent="0.25">
      <c r="B75" s="14"/>
      <c r="C75" s="4"/>
      <c r="D75" s="13" t="str">
        <f>IF(D60&lt;D15,"OK","Next Trial")</f>
        <v>OK</v>
      </c>
      <c r="E75" s="13" t="str">
        <f>IF(E60&lt;E15,"OK","Next Trial")</f>
        <v>OK</v>
      </c>
      <c r="F75" s="3"/>
    </row>
    <row r="77" spans="2:6" ht="15" x14ac:dyDescent="0.25">
      <c r="B77" s="14" t="s">
        <v>101</v>
      </c>
      <c r="C77" s="4" t="s">
        <v>51</v>
      </c>
      <c r="D77" s="13">
        <f>0.4*D47/D25</f>
        <v>93.508103694094856</v>
      </c>
      <c r="E77" s="13">
        <f>0.4*E47/E25</f>
        <v>94.08301322642221</v>
      </c>
      <c r="F77" s="3"/>
    </row>
    <row r="78" spans="2:6" ht="15" x14ac:dyDescent="0.25">
      <c r="B78" s="14" t="s">
        <v>102</v>
      </c>
      <c r="C78" s="4" t="s">
        <v>21</v>
      </c>
      <c r="D78" s="13">
        <f>(4*D77/PI())^0.5</f>
        <v>10.911380085787394</v>
      </c>
      <c r="E78" s="13">
        <f>(4*E77/PI())^0.5</f>
        <v>10.944871535459981</v>
      </c>
      <c r="F78" s="3"/>
    </row>
    <row r="79" spans="2:6" ht="15" x14ac:dyDescent="0.25">
      <c r="B79" s="14" t="s">
        <v>103</v>
      </c>
      <c r="C79" s="4" t="s">
        <v>3</v>
      </c>
      <c r="D79" s="13">
        <f>AVERAGE(D18,D37)</f>
        <v>126</v>
      </c>
      <c r="E79" s="13">
        <f>AVERAGE(E18,E37)</f>
        <v>125.83201155876034</v>
      </c>
      <c r="F79" s="3"/>
    </row>
    <row r="80" spans="2:6" ht="15" x14ac:dyDescent="0.25">
      <c r="B80" s="14" t="s">
        <v>104</v>
      </c>
      <c r="C80" s="4"/>
      <c r="D80" s="17">
        <v>0.1</v>
      </c>
      <c r="E80" s="17">
        <v>0.1</v>
      </c>
      <c r="F80" s="3" t="s">
        <v>108</v>
      </c>
    </row>
    <row r="81" spans="2:6" ht="15" x14ac:dyDescent="0.25">
      <c r="B81" s="14" t="s">
        <v>105</v>
      </c>
      <c r="C81" s="4"/>
      <c r="D81" s="17">
        <v>0.9</v>
      </c>
      <c r="E81" s="17">
        <v>0.9</v>
      </c>
      <c r="F81" s="3" t="s">
        <v>109</v>
      </c>
    </row>
    <row r="82" spans="2:6" ht="15" x14ac:dyDescent="0.25">
      <c r="B82" s="14" t="s">
        <v>106</v>
      </c>
      <c r="C82" s="4" t="s">
        <v>107</v>
      </c>
      <c r="D82" s="13">
        <f>D80*D31/D81</f>
        <v>0.44444444444444448</v>
      </c>
      <c r="E82" s="13">
        <f>E80*E31/E81</f>
        <v>0.44444444444444448</v>
      </c>
      <c r="F82" s="3"/>
    </row>
    <row r="83" spans="2:6" ht="15" x14ac:dyDescent="0.25">
      <c r="B83" s="14" t="s">
        <v>110</v>
      </c>
      <c r="C83" s="4"/>
      <c r="D83" s="17">
        <v>0.95</v>
      </c>
      <c r="E83" s="17">
        <v>0.95</v>
      </c>
      <c r="F83" s="3" t="s">
        <v>111</v>
      </c>
    </row>
    <row r="84" spans="2:6" ht="15" x14ac:dyDescent="0.25">
      <c r="B84" s="14" t="s">
        <v>112</v>
      </c>
      <c r="C84" s="4" t="s">
        <v>113</v>
      </c>
      <c r="D84" s="30">
        <f>D65/(D83*60*0.0749)</f>
        <v>281808.49319560587</v>
      </c>
      <c r="E84" s="30">
        <f>E65/(E83*60*0.0749)</f>
        <v>283641.12513727031</v>
      </c>
      <c r="F84" s="3"/>
    </row>
    <row r="85" spans="2:6" ht="15" x14ac:dyDescent="0.25">
      <c r="B85" s="14"/>
      <c r="C85" s="4" t="s">
        <v>114</v>
      </c>
      <c r="D85" s="30">
        <f>D84/D25</f>
        <v>140904.24659780294</v>
      </c>
      <c r="E85" s="30">
        <f>E84/E25</f>
        <v>141820.56256863516</v>
      </c>
      <c r="F85" s="3"/>
    </row>
    <row r="86" spans="2:6" x14ac:dyDescent="0.2">
      <c r="B86" s="19"/>
    </row>
    <row r="87" spans="2:6" ht="15" x14ac:dyDescent="0.25">
      <c r="B87" s="14" t="s">
        <v>115</v>
      </c>
      <c r="C87" s="4" t="s">
        <v>107</v>
      </c>
      <c r="D87" s="13">
        <f>D82+(D85/(4005*PI()/4*D78^2))^2*D83</f>
        <v>0.57892770473730049</v>
      </c>
      <c r="E87" s="13">
        <f>E82+(E85/(4005*PI()/4*E78^2))^2*E83</f>
        <v>0.57902258875101631</v>
      </c>
      <c r="F87" s="3"/>
    </row>
    <row r="88" spans="2:6" x14ac:dyDescent="0.2">
      <c r="F88" s="20"/>
    </row>
    <row r="89" spans="2:6" ht="15" x14ac:dyDescent="0.25">
      <c r="B89" s="14" t="s">
        <v>116</v>
      </c>
      <c r="C89" s="4"/>
      <c r="D89" s="13">
        <v>0.7</v>
      </c>
      <c r="E89" s="13">
        <v>0.7</v>
      </c>
      <c r="F89" s="3"/>
    </row>
    <row r="90" spans="2:6" ht="15" x14ac:dyDescent="0.25">
      <c r="B90" s="14" t="s">
        <v>117</v>
      </c>
      <c r="C90" s="4" t="s">
        <v>117</v>
      </c>
      <c r="D90" s="13">
        <f>D85*D87/(6356*D89)</f>
        <v>18.334390917604207</v>
      </c>
      <c r="E90" s="13">
        <f>E85*E87/(6356*E89)</f>
        <v>18.456645976044371</v>
      </c>
      <c r="F90" s="3"/>
    </row>
    <row r="91" spans="2:6" x14ac:dyDescent="0.2">
      <c r="F91" s="20"/>
    </row>
    <row r="92" spans="2:6" ht="15" x14ac:dyDescent="0.25">
      <c r="B92" s="14" t="s">
        <v>118</v>
      </c>
      <c r="C92" s="4"/>
      <c r="D92" s="13">
        <v>0.92</v>
      </c>
      <c r="E92" s="13">
        <v>0.92</v>
      </c>
      <c r="F92" s="3"/>
    </row>
    <row r="93" spans="2:6" ht="15" x14ac:dyDescent="0.25">
      <c r="B93" s="14" t="s">
        <v>120</v>
      </c>
      <c r="C93" s="4" t="s">
        <v>119</v>
      </c>
      <c r="D93" s="13">
        <f>D90/D92</f>
        <v>19.928685780004571</v>
      </c>
      <c r="E93" s="13">
        <f>E90/E92</f>
        <v>20.061571713091706</v>
      </c>
      <c r="F93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BBFB9-06CF-4F2B-85B5-3A1D94C118DF}">
  <dimension ref="A1"/>
  <sheetViews>
    <sheetView showGridLines="0" workbookViewId="0">
      <selection activeCell="R38" sqref="R3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60390-8C6B-4E40-B0C9-A6E82DE513ED}">
  <dimension ref="A1"/>
  <sheetViews>
    <sheetView topLeftCell="B1" zoomScale="115" zoomScaleNormal="115" workbookViewId="0">
      <selection activeCell="Q12" sqref="Q1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0686-D34D-494C-90B9-F318CF6F87E2}">
  <dimension ref="A1"/>
  <sheetViews>
    <sheetView workbookViewId="0">
      <selection activeCell="P15" sqref="P1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176B7-4D0F-46B3-A47C-8E4766A35F3D}">
  <dimension ref="A1"/>
  <sheetViews>
    <sheetView topLeftCell="A7" workbookViewId="0">
      <selection activeCell="J23" sqref="J2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9700A-497F-4C5A-B482-DF476F9F2AC7}">
  <dimension ref="A1"/>
  <sheetViews>
    <sheetView workbookViewId="0">
      <selection activeCell="O13" sqref="O1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1423F-58DC-4C89-A645-F7C4E4EF9BCB}">
  <dimension ref="A1"/>
  <sheetViews>
    <sheetView workbookViewId="0">
      <selection activeCell="N20" sqref="N2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2DCAE-764C-4E6E-BE59-8F9DC7149C28}">
  <dimension ref="A1"/>
  <sheetViews>
    <sheetView topLeftCell="A5" zoomScale="115" zoomScaleNormal="115" workbookViewId="0">
      <selection activeCell="Q15" sqref="Q15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Summary</vt:lpstr>
      <vt:lpstr>Calc</vt:lpstr>
      <vt:lpstr>Fig 9-25</vt:lpstr>
      <vt:lpstr>Fig 10-8</vt:lpstr>
      <vt:lpstr>Fig 10-9</vt:lpstr>
      <vt:lpstr>Fig 10-10</vt:lpstr>
      <vt:lpstr>Fig 10-11</vt:lpstr>
      <vt:lpstr>Fig 10-12</vt:lpstr>
      <vt:lpstr>Fig 10-13</vt:lpstr>
      <vt:lpstr>Fig 10-14</vt:lpstr>
      <vt:lpstr>Fig 10-15</vt:lpstr>
      <vt:lpstr>Fig 10-16</vt:lpstr>
      <vt:lpstr>Fig 10-17</vt:lpstr>
      <vt:lpstr>Fig 10-18</vt:lpstr>
      <vt:lpstr>Fig 10-19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2021-09-24T01:48:10Z</dcterms:created>
  <dcterms:modified xsi:type="dcterms:W3CDTF">2021-09-25T12:52:35Z</dcterms:modified>
</cp:coreProperties>
</file>