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21\20210829 Reciprocating Compressor Power Calculation\"/>
    </mc:Choice>
  </mc:AlternateContent>
  <xr:revisionPtr revIDLastSave="0" documentId="13_ncr:1_{1F6F3EC2-61B6-4ECD-9B44-55DC44787581}" xr6:coauthVersionLast="47" xr6:coauthVersionMax="47" xr10:uidLastSave="{00000000-0000-0000-0000-000000000000}"/>
  <bookViews>
    <workbookView xWindow="-120" yWindow="-120" windowWidth="20730" windowHeight="11160" tabRatio="845" activeTab="2" xr2:uid="{08A964CE-35F5-4AAE-A8C5-30BF837EF7E8}"/>
  </bookViews>
  <sheets>
    <sheet name="2-stage" sheetId="4" r:id="rId1"/>
    <sheet name="3-stage" sheetId="11" r:id="rId2"/>
    <sheet name="4-stage" sheetId="12" r:id="rId3"/>
    <sheet name="Comparison" sheetId="14" r:id="rId4"/>
    <sheet name="Fig 13.8" sheetId="2" r:id="rId5"/>
    <sheet name="Fig 13.11" sheetId="3" r:id="rId6"/>
    <sheet name="Fig 23.7" sheetId="5" r:id="rId7"/>
    <sheet name="Fig 13.12" sheetId="6" r:id="rId8"/>
    <sheet name="Fig 13.14" sheetId="7" r:id="rId9"/>
    <sheet name="Fig 13.15" sheetId="8" r:id="rId10"/>
    <sheet name="Eq 13.18" sheetId="9" r:id="rId11"/>
    <sheet name="Eq 13.21" sheetId="10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2" l="1"/>
  <c r="D45" i="12"/>
  <c r="D44" i="12"/>
  <c r="D43" i="12"/>
  <c r="D35" i="12"/>
  <c r="D25" i="12"/>
  <c r="D52" i="11"/>
  <c r="D25" i="11"/>
  <c r="D78" i="11"/>
  <c r="D17" i="11"/>
  <c r="G27" i="14"/>
  <c r="F27" i="14"/>
  <c r="E27" i="14"/>
  <c r="G26" i="14"/>
  <c r="F25" i="14"/>
  <c r="G25" i="14"/>
  <c r="E24" i="14"/>
  <c r="F24" i="14"/>
  <c r="G24" i="14"/>
  <c r="F23" i="14"/>
  <c r="G23" i="14"/>
  <c r="E23" i="14"/>
  <c r="G9" i="14"/>
  <c r="G10" i="14"/>
  <c r="G12" i="14"/>
  <c r="G13" i="14"/>
  <c r="G16" i="14"/>
  <c r="G20" i="14"/>
  <c r="G8" i="14"/>
  <c r="F9" i="14"/>
  <c r="F10" i="14"/>
  <c r="F12" i="14"/>
  <c r="F13" i="14"/>
  <c r="F16" i="14"/>
  <c r="F8" i="14"/>
  <c r="E12" i="14"/>
  <c r="E9" i="14"/>
  <c r="E10" i="14"/>
  <c r="E11" i="14"/>
  <c r="E13" i="14"/>
  <c r="E8" i="14"/>
  <c r="G6" i="14"/>
  <c r="G5" i="14"/>
  <c r="G4" i="14"/>
  <c r="F6" i="14"/>
  <c r="F5" i="14"/>
  <c r="F4" i="14"/>
  <c r="G3" i="14"/>
  <c r="F3" i="14"/>
  <c r="E6" i="14"/>
  <c r="E5" i="14"/>
  <c r="E4" i="14"/>
  <c r="E3" i="14"/>
  <c r="D82" i="11"/>
  <c r="D102" i="12"/>
  <c r="E44" i="4"/>
  <c r="E43" i="4"/>
  <c r="E40" i="4"/>
  <c r="E39" i="4"/>
  <c r="E59" i="11"/>
  <c r="E56" i="11"/>
  <c r="E55" i="11"/>
  <c r="E73" i="12"/>
  <c r="E70" i="12"/>
  <c r="E69" i="12"/>
  <c r="D65" i="12"/>
  <c r="D61" i="12"/>
  <c r="D57" i="12"/>
  <c r="D51" i="11"/>
  <c r="D47" i="11"/>
  <c r="D10" i="11"/>
  <c r="D14" i="11" s="1"/>
  <c r="E68" i="11" s="1"/>
  <c r="D83" i="12"/>
  <c r="E66" i="12"/>
  <c r="D95" i="12"/>
  <c r="D79" i="12"/>
  <c r="D75" i="12"/>
  <c r="D71" i="12"/>
  <c r="E62" i="12"/>
  <c r="E58" i="12"/>
  <c r="D58" i="12"/>
  <c r="E54" i="12"/>
  <c r="D52" i="12"/>
  <c r="D51" i="12"/>
  <c r="D50" i="12"/>
  <c r="D10" i="12"/>
  <c r="D14" i="12" s="1"/>
  <c r="D15" i="12" s="1"/>
  <c r="D7" i="12"/>
  <c r="D65" i="11"/>
  <c r="E52" i="11"/>
  <c r="D76" i="11"/>
  <c r="D61" i="11"/>
  <c r="D79" i="11" s="1"/>
  <c r="D57" i="11"/>
  <c r="E48" i="11"/>
  <c r="E44" i="11"/>
  <c r="D42" i="11"/>
  <c r="D41" i="11"/>
  <c r="D40" i="11"/>
  <c r="D7" i="11"/>
  <c r="D55" i="4"/>
  <c r="D45" i="4"/>
  <c r="D41" i="4"/>
  <c r="E36" i="4"/>
  <c r="E33" i="4"/>
  <c r="D31" i="4"/>
  <c r="D30" i="4"/>
  <c r="D29" i="4"/>
  <c r="D10" i="4"/>
  <c r="D14" i="4" s="1"/>
  <c r="D15" i="4" s="1"/>
  <c r="D17" i="4" s="1"/>
  <c r="D18" i="4" s="1"/>
  <c r="D25" i="4" s="1"/>
  <c r="D36" i="4" s="1"/>
  <c r="D7" i="4"/>
  <c r="D100" i="12" l="1"/>
  <c r="D57" i="4"/>
  <c r="D58" i="4"/>
  <c r="D35" i="4"/>
  <c r="E49" i="4"/>
  <c r="E51" i="4"/>
  <c r="E52" i="4"/>
  <c r="D26" i="4"/>
  <c r="E48" i="4"/>
  <c r="D80" i="11"/>
  <c r="D81" i="11" s="1"/>
  <c r="D15" i="11"/>
  <c r="D23" i="11" s="1"/>
  <c r="D45" i="11" s="1"/>
  <c r="E91" i="12"/>
  <c r="D99" i="12"/>
  <c r="D98" i="12"/>
  <c r="E92" i="12"/>
  <c r="D53" i="12"/>
  <c r="D17" i="12"/>
  <c r="E86" i="12"/>
  <c r="D97" i="12"/>
  <c r="D59" i="4"/>
  <c r="E72" i="11"/>
  <c r="E73" i="11"/>
  <c r="D44" i="11"/>
  <c r="D32" i="4"/>
  <c r="D34" i="4"/>
  <c r="D20" i="4"/>
  <c r="D101" i="12" l="1"/>
  <c r="D33" i="4"/>
  <c r="D21" i="4"/>
  <c r="D18" i="11"/>
  <c r="D54" i="12"/>
  <c r="D18" i="12"/>
  <c r="D23" i="12"/>
  <c r="D43" i="11"/>
  <c r="D55" i="12" l="1"/>
  <c r="D24" i="11"/>
  <c r="D27" i="11" s="1"/>
  <c r="D48" i="11" s="1"/>
  <c r="D28" i="11" l="1"/>
  <c r="E69" i="11"/>
  <c r="D46" i="11"/>
  <c r="D27" i="12"/>
  <c r="D28" i="12" s="1"/>
  <c r="E87" i="12"/>
  <c r="F11" i="14" l="1"/>
  <c r="E60" i="11"/>
  <c r="D33" i="11"/>
  <c r="D34" i="11" s="1"/>
  <c r="D35" i="11" s="1"/>
  <c r="D50" i="11" s="1"/>
  <c r="D56" i="12"/>
  <c r="D33" i="12"/>
  <c r="F15" i="14" l="1"/>
  <c r="G11" i="14"/>
  <c r="E74" i="12"/>
  <c r="D49" i="11"/>
  <c r="D34" i="12"/>
  <c r="D59" i="12"/>
  <c r="D37" i="11"/>
  <c r="D38" i="11" s="1"/>
  <c r="E70" i="11"/>
  <c r="F14" i="14" l="1"/>
  <c r="E63" i="11"/>
  <c r="G14" i="14"/>
  <c r="E77" i="12"/>
  <c r="D37" i="12"/>
  <c r="E88" i="12"/>
  <c r="F17" i="14" l="1"/>
  <c r="E64" i="11"/>
  <c r="D62" i="12"/>
  <c r="G17" i="14" s="1"/>
  <c r="D38" i="12"/>
  <c r="D60" i="12"/>
  <c r="G15" i="14" l="1"/>
  <c r="E78" i="12"/>
  <c r="D63" i="12"/>
  <c r="G18" i="14" l="1"/>
  <c r="E81" i="12"/>
  <c r="D47" i="12"/>
  <c r="D66" i="12" s="1"/>
  <c r="G21" i="14" s="1"/>
  <c r="E89" i="12"/>
  <c r="D64" i="12"/>
  <c r="G19" i="14" l="1"/>
  <c r="E82" i="12"/>
  <c r="D48" i="12"/>
</calcChain>
</file>

<file path=xl/sharedStrings.xml><?xml version="1.0" encoding="utf-8"?>
<sst xmlns="http://schemas.openxmlformats.org/spreadsheetml/2006/main" count="463" uniqueCount="88">
  <si>
    <t>Gas rate</t>
  </si>
  <si>
    <t>MMscfd</t>
  </si>
  <si>
    <t>Intake pressure</t>
  </si>
  <si>
    <t>psia</t>
  </si>
  <si>
    <t>Intake temperature</t>
  </si>
  <si>
    <t>F</t>
  </si>
  <si>
    <t>Discharge pressure</t>
  </si>
  <si>
    <t>Gas SG</t>
  </si>
  <si>
    <t>Gas MW</t>
  </si>
  <si>
    <t>Overall compression ratio</t>
  </si>
  <si>
    <t>Number of stages</t>
  </si>
  <si>
    <t>Compression ratio per stage</t>
  </si>
  <si>
    <t>(limited to maximum 4)</t>
  </si>
  <si>
    <t>1st stage discharge pressure</t>
  </si>
  <si>
    <t xml:space="preserve">Pressure drop </t>
  </si>
  <si>
    <t>psi</t>
  </si>
  <si>
    <t>Between 1st stage discharge and 2nd stage suction</t>
  </si>
  <si>
    <t>2nd stage suction pressure</t>
  </si>
  <si>
    <t>Compression ratio for 2nd stage</t>
  </si>
  <si>
    <t>k (Cp/Cv)</t>
  </si>
  <si>
    <t>Figure 13.8 @ 150 F</t>
  </si>
  <si>
    <t>1st stage discharge temperature</t>
  </si>
  <si>
    <t>Fig. 13.11</t>
  </si>
  <si>
    <t>Eq. 13.18 (Temperature in absolute R or K)</t>
  </si>
  <si>
    <t>Interstage cooling</t>
  </si>
  <si>
    <t>Yes</t>
  </si>
  <si>
    <t>Outlet temperature of interstage cooling</t>
  </si>
  <si>
    <t>2nd stage discharge temperature</t>
  </si>
  <si>
    <t>Average cylinder temperature</t>
  </si>
  <si>
    <t>Average of inlet and outlet temperature</t>
  </si>
  <si>
    <t>2nd stage discharge pressure</t>
  </si>
  <si>
    <t>1st stage</t>
  </si>
  <si>
    <t xml:space="preserve">Z suction </t>
  </si>
  <si>
    <t>Z discharge</t>
  </si>
  <si>
    <t>Z average</t>
  </si>
  <si>
    <t>2nd stage</t>
  </si>
  <si>
    <t>1st stage BHP/MMcfd</t>
  </si>
  <si>
    <t>BHP/MMcfd</t>
  </si>
  <si>
    <t>2nd stage BHP/MMcfd</t>
  </si>
  <si>
    <t>Correction factor for low intake pressure</t>
  </si>
  <si>
    <t>Correction factor for SG</t>
  </si>
  <si>
    <t>PL</t>
  </si>
  <si>
    <t>Pressure at reference condition</t>
  </si>
  <si>
    <t>Temperature at reference condition</t>
  </si>
  <si>
    <t>R</t>
  </si>
  <si>
    <t>BHP 1st stage</t>
  </si>
  <si>
    <t>BHP 2nd stage</t>
  </si>
  <si>
    <t>Total BHP</t>
  </si>
  <si>
    <t>HP</t>
  </si>
  <si>
    <t xml:space="preserve"> </t>
  </si>
  <si>
    <t>Between 2nd stage discharge and 3rd stage suction</t>
  </si>
  <si>
    <t>3rd stage suction pressure</t>
  </si>
  <si>
    <t>3rd stage discharge pressure</t>
  </si>
  <si>
    <t>3rd stage discharge temperature</t>
  </si>
  <si>
    <t>3rd stage</t>
  </si>
  <si>
    <t>3rd stage BHP/MMcfd</t>
  </si>
  <si>
    <t>Compression ratio for 3rd stage</t>
  </si>
  <si>
    <t>BHP 3rd stage</t>
  </si>
  <si>
    <t>4th stage suction pressure</t>
  </si>
  <si>
    <t>4th stage discharge pressure</t>
  </si>
  <si>
    <t>4th stage discharge temperature</t>
  </si>
  <si>
    <t>Between 3rd stage discharge and 4th stage suction</t>
  </si>
  <si>
    <t>4th stage</t>
  </si>
  <si>
    <t>Compression ratio for 4th stage</t>
  </si>
  <si>
    <t>BHP 4th stage</t>
  </si>
  <si>
    <t>MW = 23.2</t>
  </si>
  <si>
    <t>Input</t>
  </si>
  <si>
    <t>Calculated</t>
  </si>
  <si>
    <t>See graph</t>
  </si>
  <si>
    <t>Grafik disesuaikan dengan MW-nya</t>
  </si>
  <si>
    <t>Based on simulation</t>
  </si>
  <si>
    <t>Compression ratio per 1st stage</t>
  </si>
  <si>
    <t>Results Summary</t>
  </si>
  <si>
    <t>2nd stage suction temperature</t>
  </si>
  <si>
    <t>Outlet interstage cooler</t>
  </si>
  <si>
    <t>3rd stage suction temperature</t>
  </si>
  <si>
    <t>two-stage</t>
  </si>
  <si>
    <t>three-stage</t>
  </si>
  <si>
    <t>Four-stage</t>
  </si>
  <si>
    <t>4th stage suction temperature</t>
  </si>
  <si>
    <t>2-stage</t>
  </si>
  <si>
    <t>3-stage</t>
  </si>
  <si>
    <t>4-stage</t>
  </si>
  <si>
    <t>-</t>
  </si>
  <si>
    <t>Parameter</t>
  </si>
  <si>
    <t>Unit</t>
  </si>
  <si>
    <t>Compressibility factor at suction and discharge first stage compression</t>
  </si>
  <si>
    <t>4th stage BHP/MMcfd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</si>
</sst>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3"/>
    </xf>
    <xf numFmtId="2" fontId="2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2" fontId="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10" fontId="2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(Comparison!$E$9,Comparison!$E$13)</c:f>
              <c:numCache>
                <c:formatCode>0.00</c:formatCode>
                <c:ptCount val="2"/>
                <c:pt idx="0">
                  <c:v>217.6324502535449</c:v>
                </c:pt>
                <c:pt idx="1">
                  <c:v>243.88380292824911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9-4C19-B175-A74BE86C9B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(Comparison!$F$9,Comparison!$F$13,Comparison!$F$17)</c:f>
              <c:numCache>
                <c:formatCode>0.00</c:formatCode>
                <c:ptCount val="3"/>
                <c:pt idx="0">
                  <c:v>175.90485262664572</c:v>
                </c:pt>
                <c:pt idx="1">
                  <c:v>200.00779550418531</c:v>
                </c:pt>
                <c:pt idx="2">
                  <c:v>201.35697833873144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9-4C19-B175-A74BE86C9B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(Comparison!$G$9,Comparison!$G$13,Comparison!$G$17,Comparison!$G$21)</c:f>
              <c:numCache>
                <c:formatCode>0.00</c:formatCode>
                <c:ptCount val="4"/>
                <c:pt idx="0">
                  <c:v>156.01474993865622</c:v>
                </c:pt>
                <c:pt idx="1">
                  <c:v>186</c:v>
                </c:pt>
                <c:pt idx="2">
                  <c:v>180.04872494031099</c:v>
                </c:pt>
                <c:pt idx="3">
                  <c:v>181.14370429768701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79-4C19-B175-A74BE86C9B4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79-4C19-B175-A74BE86C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019248"/>
        <c:axId val="243020496"/>
      </c:lineChart>
      <c:catAx>
        <c:axId val="243019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20496"/>
        <c:crosses val="autoZero"/>
        <c:auto val="1"/>
        <c:lblAlgn val="ctr"/>
        <c:lblOffset val="100"/>
        <c:noMultiLvlLbl val="0"/>
      </c:catAx>
      <c:valAx>
        <c:axId val="24302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01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10</xdr:row>
      <xdr:rowOff>123825</xdr:rowOff>
    </xdr:from>
    <xdr:to>
      <xdr:col>13</xdr:col>
      <xdr:colOff>275639</xdr:colOff>
      <xdr:row>42</xdr:row>
      <xdr:rowOff>85006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750FE5-0030-4BFC-A03E-BE43AE9C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1933575"/>
          <a:ext cx="4695238" cy="5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503464</xdr:colOff>
      <xdr:row>9</xdr:row>
      <xdr:rowOff>122465</xdr:rowOff>
    </xdr:from>
    <xdr:to>
      <xdr:col>21</xdr:col>
      <xdr:colOff>271559</xdr:colOff>
      <xdr:row>42</xdr:row>
      <xdr:rowOff>46906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25A189-8703-4FEF-ACF5-1083845E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29607" y="1714501"/>
          <a:ext cx="4666667" cy="5761905"/>
        </a:xfrm>
        <a:prstGeom prst="rect">
          <a:avLst/>
        </a:prstGeom>
      </xdr:spPr>
    </xdr:pic>
    <xdr:clientData/>
  </xdr:twoCellAnchor>
  <xdr:twoCellAnchor editAs="oneCell">
    <xdr:from>
      <xdr:col>21</xdr:col>
      <xdr:colOff>357187</xdr:colOff>
      <xdr:row>9</xdr:row>
      <xdr:rowOff>119062</xdr:rowOff>
    </xdr:from>
    <xdr:to>
      <xdr:col>29</xdr:col>
      <xdr:colOff>97387</xdr:colOff>
      <xdr:row>42</xdr:row>
      <xdr:rowOff>1323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EAE147-180A-49E8-8AA4-E2AEC480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21375" y="1833562"/>
          <a:ext cx="4693199" cy="6168761"/>
        </a:xfrm>
        <a:prstGeom prst="rect">
          <a:avLst/>
        </a:prstGeom>
      </xdr:spPr>
    </xdr:pic>
    <xdr:clientData/>
  </xdr:twoCellAnchor>
  <xdr:twoCellAnchor editAs="oneCell">
    <xdr:from>
      <xdr:col>9</xdr:col>
      <xdr:colOff>27214</xdr:colOff>
      <xdr:row>45</xdr:row>
      <xdr:rowOff>34770</xdr:rowOff>
    </xdr:from>
    <xdr:to>
      <xdr:col>17</xdr:col>
      <xdr:colOff>567917</xdr:colOff>
      <xdr:row>67</xdr:row>
      <xdr:rowOff>34763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2E595D-D22B-44D2-A4DD-B62044732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04071" y="7994949"/>
          <a:ext cx="5439274" cy="3891635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44</xdr:row>
      <xdr:rowOff>13606</xdr:rowOff>
    </xdr:from>
    <xdr:to>
      <xdr:col>30</xdr:col>
      <xdr:colOff>2253</xdr:colOff>
      <xdr:row>71</xdr:row>
      <xdr:rowOff>123213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FB846A-B309-4008-B560-2A4FAEC93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68750" y="7796892"/>
          <a:ext cx="6961905" cy="4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354574</xdr:colOff>
      <xdr:row>71</xdr:row>
      <xdr:rowOff>22938</xdr:rowOff>
    </xdr:from>
    <xdr:to>
      <xdr:col>16</xdr:col>
      <xdr:colOff>200010</xdr:colOff>
      <xdr:row>99</xdr:row>
      <xdr:rowOff>108336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DF9DE9-4C5D-4007-AABD-1248509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70224" y="12872163"/>
          <a:ext cx="4112636" cy="51336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13607</xdr:rowOff>
    </xdr:from>
    <xdr:to>
      <xdr:col>8</xdr:col>
      <xdr:colOff>526678</xdr:colOff>
      <xdr:row>110</xdr:row>
      <xdr:rowOff>66226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DA0AC5-1450-40F3-AB7A-4BC7E5A60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2321" y="15920357"/>
          <a:ext cx="10228571" cy="3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530679</xdr:colOff>
      <xdr:row>113</xdr:row>
      <xdr:rowOff>122464</xdr:rowOff>
    </xdr:from>
    <xdr:to>
      <xdr:col>8</xdr:col>
      <xdr:colOff>549798</xdr:colOff>
      <xdr:row>136</xdr:row>
      <xdr:rowOff>53929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2DBD3D-9DB2-40ED-ADEF-98D1AB38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0679" y="20097750"/>
          <a:ext cx="10333333" cy="4000000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144</xdr:row>
      <xdr:rowOff>171450</xdr:rowOff>
    </xdr:from>
    <xdr:to>
      <xdr:col>7</xdr:col>
      <xdr:colOff>571499</xdr:colOff>
      <xdr:row>155</xdr:row>
      <xdr:rowOff>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67241D3-3AD9-4CE1-B612-1AECC4B23E60}"/>
            </a:ext>
          </a:extLst>
        </xdr:cNvPr>
        <xdr:cNvGrpSpPr/>
      </xdr:nvGrpSpPr>
      <xdr:grpSpPr>
        <a:xfrm>
          <a:off x="1576668" y="25967391"/>
          <a:ext cx="8676713" cy="1800785"/>
          <a:chOff x="990600" y="7858125"/>
          <a:chExt cx="6572249" cy="1400175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69461AE6-D0BF-4D35-B0A6-7F906D228BEA}"/>
              </a:ext>
            </a:extLst>
          </xdr:cNvPr>
          <xdr:cNvGrpSpPr/>
        </xdr:nvGrpSpPr>
        <xdr:grpSpPr>
          <a:xfrm>
            <a:off x="990600" y="8124825"/>
            <a:ext cx="4381498" cy="1133475"/>
            <a:chOff x="1009651" y="5429250"/>
            <a:chExt cx="4381498" cy="1133475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F14695D4-3F88-456A-8732-58F7A3B51F3B}"/>
                </a:ext>
              </a:extLst>
            </xdr:cNvPr>
            <xdr:cNvGrpSpPr/>
          </xdr:nvGrpSpPr>
          <xdr:grpSpPr>
            <a:xfrm>
              <a:off x="1009651" y="5695951"/>
              <a:ext cx="2209799" cy="866774"/>
              <a:chOff x="1076325" y="2247900"/>
              <a:chExt cx="3895725" cy="1613013"/>
            </a:xfrm>
          </xdr:grpSpPr>
          <xdr:sp macro="" textlink="">
            <xdr:nvSpPr>
              <xdr:cNvPr id="37" name="Flowchart: Manual Operation 36">
                <a:extLst>
                  <a:ext uri="{FF2B5EF4-FFF2-40B4-BE49-F238E27FC236}">
                    <a16:creationId xmlns:a16="http://schemas.microsoft.com/office/drawing/2014/main" id="{F37A6031-C804-4BEE-8C3D-524541CF5E58}"/>
                  </a:ext>
                </a:extLst>
              </xdr:cNvPr>
              <xdr:cNvSpPr/>
            </xdr:nvSpPr>
            <xdr:spPr>
              <a:xfrm rot="16200000">
                <a:off x="1774771" y="3283006"/>
                <a:ext cx="674801" cy="481014"/>
              </a:xfrm>
              <a:prstGeom prst="flowChartManualOperatio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38" name="Connector: Elbow 37">
                <a:extLst>
                  <a:ext uri="{FF2B5EF4-FFF2-40B4-BE49-F238E27FC236}">
                    <a16:creationId xmlns:a16="http://schemas.microsoft.com/office/drawing/2014/main" id="{6058F97C-9793-4B4C-8449-1DD6FC566253}"/>
                  </a:ext>
                </a:extLst>
              </xdr:cNvPr>
              <xdr:cNvCxnSpPr/>
            </xdr:nvCxnSpPr>
            <xdr:spPr>
              <a:xfrm>
                <a:off x="1076325" y="2743200"/>
                <a:ext cx="935834" cy="507207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9" name="Connector: Elbow 38">
                <a:extLst>
                  <a:ext uri="{FF2B5EF4-FFF2-40B4-BE49-F238E27FC236}">
                    <a16:creationId xmlns:a16="http://schemas.microsoft.com/office/drawing/2014/main" id="{4C39354C-0F66-4CE0-81FF-DED02C7A90B7}"/>
                  </a:ext>
                </a:extLst>
              </xdr:cNvPr>
              <xdr:cNvCxnSpPr/>
            </xdr:nvCxnSpPr>
            <xdr:spPr>
              <a:xfrm rot="5400000" flipH="1" flipV="1">
                <a:off x="2448716" y="2692406"/>
                <a:ext cx="386568" cy="812006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0" name="Oval 39">
                <a:extLst>
                  <a:ext uri="{FF2B5EF4-FFF2-40B4-BE49-F238E27FC236}">
                    <a16:creationId xmlns:a16="http://schemas.microsoft.com/office/drawing/2014/main" id="{C6240C6E-3C72-47A0-A973-F97731DBA30D}"/>
                  </a:ext>
                </a:extLst>
              </xdr:cNvPr>
              <xdr:cNvSpPr/>
            </xdr:nvSpPr>
            <xdr:spPr>
              <a:xfrm>
                <a:off x="3038475" y="2676525"/>
                <a:ext cx="485775" cy="476250"/>
              </a:xfrm>
              <a:prstGeom prst="ellipse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sp macro="" textlink="">
            <xdr:nvSpPr>
              <xdr:cNvPr id="41" name="Cylinder 40">
                <a:extLst>
                  <a:ext uri="{FF2B5EF4-FFF2-40B4-BE49-F238E27FC236}">
                    <a16:creationId xmlns:a16="http://schemas.microsoft.com/office/drawing/2014/main" id="{4B909339-229B-42A0-B7B0-7E08F519EC0D}"/>
                  </a:ext>
                </a:extLst>
              </xdr:cNvPr>
              <xdr:cNvSpPr/>
            </xdr:nvSpPr>
            <xdr:spPr>
              <a:xfrm>
                <a:off x="3924300" y="2400300"/>
                <a:ext cx="533400" cy="1028700"/>
              </a:xfrm>
              <a:prstGeom prst="ca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42" name="Straight Arrow Connector 41">
                <a:extLst>
                  <a:ext uri="{FF2B5EF4-FFF2-40B4-BE49-F238E27FC236}">
                    <a16:creationId xmlns:a16="http://schemas.microsoft.com/office/drawing/2014/main" id="{0BCCC18E-22E5-473B-8695-84C1DFC1E5F9}"/>
                  </a:ext>
                </a:extLst>
              </xdr:cNvPr>
              <xdr:cNvCxnSpPr>
                <a:stCxn id="40" idx="6"/>
                <a:endCxn id="41" idx="2"/>
              </xdr:cNvCxnSpPr>
            </xdr:nvCxnSpPr>
            <xdr:spPr>
              <a:xfrm>
                <a:off x="3524250" y="2914650"/>
                <a:ext cx="400050" cy="0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" name="Connector: Elbow 42">
                <a:extLst>
                  <a:ext uri="{FF2B5EF4-FFF2-40B4-BE49-F238E27FC236}">
                    <a16:creationId xmlns:a16="http://schemas.microsoft.com/office/drawing/2014/main" id="{6F77EAF0-5419-4F8B-A8C0-C2387EC3BCF1}"/>
                  </a:ext>
                </a:extLst>
              </xdr:cNvPr>
              <xdr:cNvCxnSpPr>
                <a:stCxn id="41" idx="1"/>
              </xdr:cNvCxnSpPr>
            </xdr:nvCxnSpPr>
            <xdr:spPr>
              <a:xfrm rot="5400000" flipH="1" flipV="1">
                <a:off x="4505325" y="1933575"/>
                <a:ext cx="152400" cy="78105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4" name="Connector: Elbow 43">
                <a:extLst>
                  <a:ext uri="{FF2B5EF4-FFF2-40B4-BE49-F238E27FC236}">
                    <a16:creationId xmlns:a16="http://schemas.microsoft.com/office/drawing/2014/main" id="{1CD506C8-7E5F-42B6-8AC2-48F444FFCC02}"/>
                  </a:ext>
                </a:extLst>
              </xdr:cNvPr>
              <xdr:cNvCxnSpPr>
                <a:stCxn id="41" idx="3"/>
              </xdr:cNvCxnSpPr>
            </xdr:nvCxnSpPr>
            <xdr:spPr>
              <a:xfrm rot="16200000" flipH="1">
                <a:off x="4481513" y="3138487"/>
                <a:ext cx="180975" cy="76200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5" name="Straight Connector 44">
                <a:extLst>
                  <a:ext uri="{FF2B5EF4-FFF2-40B4-BE49-F238E27FC236}">
                    <a16:creationId xmlns:a16="http://schemas.microsoft.com/office/drawing/2014/main" id="{70668966-BF05-495F-9308-6C0AC34D4C4C}"/>
                  </a:ext>
                </a:extLst>
              </xdr:cNvPr>
              <xdr:cNvCxnSpPr/>
            </xdr:nvCxnSpPr>
            <xdr:spPr>
              <a:xfrm flipH="1">
                <a:off x="3162301" y="2581275"/>
                <a:ext cx="190499" cy="314325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6" name="Straight Connector 45">
                <a:extLst>
                  <a:ext uri="{FF2B5EF4-FFF2-40B4-BE49-F238E27FC236}">
                    <a16:creationId xmlns:a16="http://schemas.microsoft.com/office/drawing/2014/main" id="{94EAF6DB-350E-4A29-8966-C49614830D71}"/>
                  </a:ext>
                </a:extLst>
              </xdr:cNvPr>
              <xdr:cNvCxnSpPr/>
            </xdr:nvCxnSpPr>
            <xdr:spPr>
              <a:xfrm>
                <a:off x="3152775" y="2895600"/>
                <a:ext cx="257175" cy="0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Straight Connector 46">
                <a:extLst>
                  <a:ext uri="{FF2B5EF4-FFF2-40B4-BE49-F238E27FC236}">
                    <a16:creationId xmlns:a16="http://schemas.microsoft.com/office/drawing/2014/main" id="{FB5DACF5-A87A-4F0D-8042-49E4262565D3}"/>
                  </a:ext>
                </a:extLst>
              </xdr:cNvPr>
              <xdr:cNvCxnSpPr/>
            </xdr:nvCxnSpPr>
            <xdr:spPr>
              <a:xfrm flipH="1">
                <a:off x="3105150" y="2895600"/>
                <a:ext cx="295275" cy="304800"/>
              </a:xfrm>
              <a:prstGeom prst="line">
                <a:avLst/>
              </a:prstGeom>
              <a:ln>
                <a:headEnd type="none"/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5" name="Group 24">
              <a:extLst>
                <a:ext uri="{FF2B5EF4-FFF2-40B4-BE49-F238E27FC236}">
                  <a16:creationId xmlns:a16="http://schemas.microsoft.com/office/drawing/2014/main" id="{912E36F1-161C-4EFD-A7CF-5CB53CBDC7B8}"/>
                </a:ext>
              </a:extLst>
            </xdr:cNvPr>
            <xdr:cNvGrpSpPr/>
          </xdr:nvGrpSpPr>
          <xdr:grpSpPr>
            <a:xfrm>
              <a:off x="3181350" y="5429250"/>
              <a:ext cx="2209799" cy="866774"/>
              <a:chOff x="1076325" y="2247900"/>
              <a:chExt cx="3895725" cy="1613013"/>
            </a:xfrm>
          </xdr:grpSpPr>
          <xdr:sp macro="" textlink="">
            <xdr:nvSpPr>
              <xdr:cNvPr id="26" name="Flowchart: Manual Operation 25">
                <a:extLst>
                  <a:ext uri="{FF2B5EF4-FFF2-40B4-BE49-F238E27FC236}">
                    <a16:creationId xmlns:a16="http://schemas.microsoft.com/office/drawing/2014/main" id="{9BB551B4-9CED-4018-98FC-91EA2DAB139F}"/>
                  </a:ext>
                </a:extLst>
              </xdr:cNvPr>
              <xdr:cNvSpPr/>
            </xdr:nvSpPr>
            <xdr:spPr>
              <a:xfrm rot="16200000">
                <a:off x="1774771" y="3283006"/>
                <a:ext cx="674801" cy="481014"/>
              </a:xfrm>
              <a:prstGeom prst="flowChartManualOperatio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27" name="Connector: Elbow 26">
                <a:extLst>
                  <a:ext uri="{FF2B5EF4-FFF2-40B4-BE49-F238E27FC236}">
                    <a16:creationId xmlns:a16="http://schemas.microsoft.com/office/drawing/2014/main" id="{DE6A71C1-0BD6-4852-944F-7F4A288A60A6}"/>
                  </a:ext>
                </a:extLst>
              </xdr:cNvPr>
              <xdr:cNvCxnSpPr/>
            </xdr:nvCxnSpPr>
            <xdr:spPr>
              <a:xfrm>
                <a:off x="1076325" y="2743200"/>
                <a:ext cx="935834" cy="507207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8" name="Connector: Elbow 27">
                <a:extLst>
                  <a:ext uri="{FF2B5EF4-FFF2-40B4-BE49-F238E27FC236}">
                    <a16:creationId xmlns:a16="http://schemas.microsoft.com/office/drawing/2014/main" id="{37C84C46-5F59-4EF7-80ED-4B74F2CB46FF}"/>
                  </a:ext>
                </a:extLst>
              </xdr:cNvPr>
              <xdr:cNvCxnSpPr/>
            </xdr:nvCxnSpPr>
            <xdr:spPr>
              <a:xfrm rot="5400000" flipH="1" flipV="1">
                <a:off x="2448716" y="2692406"/>
                <a:ext cx="386568" cy="812006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Oval 28">
                <a:extLst>
                  <a:ext uri="{FF2B5EF4-FFF2-40B4-BE49-F238E27FC236}">
                    <a16:creationId xmlns:a16="http://schemas.microsoft.com/office/drawing/2014/main" id="{43DA49E8-6883-414D-9375-F4B2B95AAC42}"/>
                  </a:ext>
                </a:extLst>
              </xdr:cNvPr>
              <xdr:cNvSpPr/>
            </xdr:nvSpPr>
            <xdr:spPr>
              <a:xfrm>
                <a:off x="3038475" y="2676525"/>
                <a:ext cx="485775" cy="476250"/>
              </a:xfrm>
              <a:prstGeom prst="ellipse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sp macro="" textlink="">
            <xdr:nvSpPr>
              <xdr:cNvPr id="30" name="Cylinder 29">
                <a:extLst>
                  <a:ext uri="{FF2B5EF4-FFF2-40B4-BE49-F238E27FC236}">
                    <a16:creationId xmlns:a16="http://schemas.microsoft.com/office/drawing/2014/main" id="{C3B3C6FA-BBC6-4CD5-82B9-6312391F1422}"/>
                  </a:ext>
                </a:extLst>
              </xdr:cNvPr>
              <xdr:cNvSpPr/>
            </xdr:nvSpPr>
            <xdr:spPr>
              <a:xfrm>
                <a:off x="3924300" y="2400300"/>
                <a:ext cx="533400" cy="1028700"/>
              </a:xfrm>
              <a:prstGeom prst="ca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31" name="Straight Arrow Connector 30">
                <a:extLst>
                  <a:ext uri="{FF2B5EF4-FFF2-40B4-BE49-F238E27FC236}">
                    <a16:creationId xmlns:a16="http://schemas.microsoft.com/office/drawing/2014/main" id="{D9341CD5-6098-4741-9991-A55184F6C3EF}"/>
                  </a:ext>
                </a:extLst>
              </xdr:cNvPr>
              <xdr:cNvCxnSpPr>
                <a:stCxn id="29" idx="6"/>
                <a:endCxn id="30" idx="2"/>
              </xdr:cNvCxnSpPr>
            </xdr:nvCxnSpPr>
            <xdr:spPr>
              <a:xfrm>
                <a:off x="3524250" y="2914650"/>
                <a:ext cx="400050" cy="0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Connector: Elbow 31">
                <a:extLst>
                  <a:ext uri="{FF2B5EF4-FFF2-40B4-BE49-F238E27FC236}">
                    <a16:creationId xmlns:a16="http://schemas.microsoft.com/office/drawing/2014/main" id="{736C69EB-8312-499B-B618-8F25623E7B34}"/>
                  </a:ext>
                </a:extLst>
              </xdr:cNvPr>
              <xdr:cNvCxnSpPr>
                <a:stCxn id="30" idx="1"/>
              </xdr:cNvCxnSpPr>
            </xdr:nvCxnSpPr>
            <xdr:spPr>
              <a:xfrm rot="5400000" flipH="1" flipV="1">
                <a:off x="4505325" y="1933575"/>
                <a:ext cx="152400" cy="78105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Connector: Elbow 32">
                <a:extLst>
                  <a:ext uri="{FF2B5EF4-FFF2-40B4-BE49-F238E27FC236}">
                    <a16:creationId xmlns:a16="http://schemas.microsoft.com/office/drawing/2014/main" id="{12F45E53-177B-4DD0-8A96-732BBE778891}"/>
                  </a:ext>
                </a:extLst>
              </xdr:cNvPr>
              <xdr:cNvCxnSpPr>
                <a:stCxn id="30" idx="3"/>
              </xdr:cNvCxnSpPr>
            </xdr:nvCxnSpPr>
            <xdr:spPr>
              <a:xfrm rot="16200000" flipH="1">
                <a:off x="4481513" y="3138487"/>
                <a:ext cx="180975" cy="76200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Straight Connector 33">
                <a:extLst>
                  <a:ext uri="{FF2B5EF4-FFF2-40B4-BE49-F238E27FC236}">
                    <a16:creationId xmlns:a16="http://schemas.microsoft.com/office/drawing/2014/main" id="{819540CF-29EB-4DAE-B9E0-C53A59041A07}"/>
                  </a:ext>
                </a:extLst>
              </xdr:cNvPr>
              <xdr:cNvCxnSpPr/>
            </xdr:nvCxnSpPr>
            <xdr:spPr>
              <a:xfrm flipH="1">
                <a:off x="3162301" y="2581275"/>
                <a:ext cx="190499" cy="314325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Straight Connector 34">
                <a:extLst>
                  <a:ext uri="{FF2B5EF4-FFF2-40B4-BE49-F238E27FC236}">
                    <a16:creationId xmlns:a16="http://schemas.microsoft.com/office/drawing/2014/main" id="{30640A09-2B83-4466-9AC2-A992906768A3}"/>
                  </a:ext>
                </a:extLst>
              </xdr:cNvPr>
              <xdr:cNvCxnSpPr/>
            </xdr:nvCxnSpPr>
            <xdr:spPr>
              <a:xfrm>
                <a:off x="3152775" y="2895600"/>
                <a:ext cx="257175" cy="0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6" name="Straight Connector 35">
                <a:extLst>
                  <a:ext uri="{FF2B5EF4-FFF2-40B4-BE49-F238E27FC236}">
                    <a16:creationId xmlns:a16="http://schemas.microsoft.com/office/drawing/2014/main" id="{EF58976C-786D-4842-8F74-E22317242AAE}"/>
                  </a:ext>
                </a:extLst>
              </xdr:cNvPr>
              <xdr:cNvCxnSpPr/>
            </xdr:nvCxnSpPr>
            <xdr:spPr>
              <a:xfrm flipH="1">
                <a:off x="3105150" y="2895600"/>
                <a:ext cx="295275" cy="304800"/>
              </a:xfrm>
              <a:prstGeom prst="line">
                <a:avLst/>
              </a:prstGeom>
              <a:ln>
                <a:headEnd type="none"/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4E0A83B0-4446-44B8-8BF9-C1F63C404773}"/>
              </a:ext>
            </a:extLst>
          </xdr:cNvPr>
          <xdr:cNvGrpSpPr/>
        </xdr:nvGrpSpPr>
        <xdr:grpSpPr>
          <a:xfrm>
            <a:off x="5353050" y="7858125"/>
            <a:ext cx="2209799" cy="866774"/>
            <a:chOff x="1076325" y="2247900"/>
            <a:chExt cx="3895725" cy="1613013"/>
          </a:xfrm>
        </xdr:grpSpPr>
        <xdr:sp macro="" textlink="">
          <xdr:nvSpPr>
            <xdr:cNvPr id="13" name="Flowchart: Manual Operation 12">
              <a:extLst>
                <a:ext uri="{FF2B5EF4-FFF2-40B4-BE49-F238E27FC236}">
                  <a16:creationId xmlns:a16="http://schemas.microsoft.com/office/drawing/2014/main" id="{CBF64E1A-7E33-4A62-B817-A7FFE9745D1B}"/>
                </a:ext>
              </a:extLst>
            </xdr:cNvPr>
            <xdr:cNvSpPr/>
          </xdr:nvSpPr>
          <xdr:spPr>
            <a:xfrm rot="16200000">
              <a:off x="1774771" y="3283006"/>
              <a:ext cx="674801" cy="481014"/>
            </a:xfrm>
            <a:prstGeom prst="flowChartManualOperation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cxnSp macro="">
          <xdr:nvCxnSpPr>
            <xdr:cNvPr id="14" name="Connector: Elbow 13">
              <a:extLst>
                <a:ext uri="{FF2B5EF4-FFF2-40B4-BE49-F238E27FC236}">
                  <a16:creationId xmlns:a16="http://schemas.microsoft.com/office/drawing/2014/main" id="{15A6C2AD-8A9A-4DCB-8C79-F5B1B5E9A57E}"/>
                </a:ext>
              </a:extLst>
            </xdr:cNvPr>
            <xdr:cNvCxnSpPr/>
          </xdr:nvCxnSpPr>
          <xdr:spPr>
            <a:xfrm>
              <a:off x="1076325" y="2743200"/>
              <a:ext cx="935834" cy="507207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nector: Elbow 14">
              <a:extLst>
                <a:ext uri="{FF2B5EF4-FFF2-40B4-BE49-F238E27FC236}">
                  <a16:creationId xmlns:a16="http://schemas.microsoft.com/office/drawing/2014/main" id="{AE81C355-BE80-4BA1-96AF-AA836E2FD95C}"/>
                </a:ext>
              </a:extLst>
            </xdr:cNvPr>
            <xdr:cNvCxnSpPr/>
          </xdr:nvCxnSpPr>
          <xdr:spPr>
            <a:xfrm rot="5400000" flipH="1" flipV="1">
              <a:off x="2448716" y="2692406"/>
              <a:ext cx="386568" cy="812006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" name="Oval 15">
              <a:extLst>
                <a:ext uri="{FF2B5EF4-FFF2-40B4-BE49-F238E27FC236}">
                  <a16:creationId xmlns:a16="http://schemas.microsoft.com/office/drawing/2014/main" id="{079789E4-1CA1-4CCB-9AC6-6C9EC0FFC281}"/>
                </a:ext>
              </a:extLst>
            </xdr:cNvPr>
            <xdr:cNvSpPr/>
          </xdr:nvSpPr>
          <xdr:spPr>
            <a:xfrm>
              <a:off x="3038475" y="2676525"/>
              <a:ext cx="485775" cy="476250"/>
            </a:xfrm>
            <a:prstGeom prst="ellipse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sp macro="" textlink="">
          <xdr:nvSpPr>
            <xdr:cNvPr id="17" name="Cylinder 16">
              <a:extLst>
                <a:ext uri="{FF2B5EF4-FFF2-40B4-BE49-F238E27FC236}">
                  <a16:creationId xmlns:a16="http://schemas.microsoft.com/office/drawing/2014/main" id="{357DB67C-BF6A-49F0-B5AE-04696D10AA9A}"/>
                </a:ext>
              </a:extLst>
            </xdr:cNvPr>
            <xdr:cNvSpPr/>
          </xdr:nvSpPr>
          <xdr:spPr>
            <a:xfrm>
              <a:off x="3924300" y="2400300"/>
              <a:ext cx="533400" cy="1028700"/>
            </a:xfrm>
            <a:prstGeom prst="can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0C1368EE-0BC5-476D-96A5-A2A5846BC04B}"/>
                </a:ext>
              </a:extLst>
            </xdr:cNvPr>
            <xdr:cNvCxnSpPr>
              <a:stCxn id="16" idx="6"/>
              <a:endCxn id="17" idx="2"/>
            </xdr:cNvCxnSpPr>
          </xdr:nvCxnSpPr>
          <xdr:spPr>
            <a:xfrm>
              <a:off x="3524250" y="2914650"/>
              <a:ext cx="400050" cy="0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Connector: Elbow 18">
              <a:extLst>
                <a:ext uri="{FF2B5EF4-FFF2-40B4-BE49-F238E27FC236}">
                  <a16:creationId xmlns:a16="http://schemas.microsoft.com/office/drawing/2014/main" id="{88152435-E245-407A-8B6C-E7B170794890}"/>
                </a:ext>
              </a:extLst>
            </xdr:cNvPr>
            <xdr:cNvCxnSpPr>
              <a:stCxn id="17" idx="1"/>
            </xdr:cNvCxnSpPr>
          </xdr:nvCxnSpPr>
          <xdr:spPr>
            <a:xfrm rot="5400000" flipH="1" flipV="1">
              <a:off x="4505325" y="1933575"/>
              <a:ext cx="152400" cy="781050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0" name="Connector: Elbow 19">
              <a:extLst>
                <a:ext uri="{FF2B5EF4-FFF2-40B4-BE49-F238E27FC236}">
                  <a16:creationId xmlns:a16="http://schemas.microsoft.com/office/drawing/2014/main" id="{0D8C6B31-0C07-439F-8CB9-09995E052227}"/>
                </a:ext>
              </a:extLst>
            </xdr:cNvPr>
            <xdr:cNvCxnSpPr>
              <a:stCxn id="17" idx="3"/>
            </xdr:cNvCxnSpPr>
          </xdr:nvCxnSpPr>
          <xdr:spPr>
            <a:xfrm rot="16200000" flipH="1">
              <a:off x="4481513" y="3138487"/>
              <a:ext cx="180975" cy="762000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>
              <a:extLst>
                <a:ext uri="{FF2B5EF4-FFF2-40B4-BE49-F238E27FC236}">
                  <a16:creationId xmlns:a16="http://schemas.microsoft.com/office/drawing/2014/main" id="{98AC482F-8919-44CC-92ED-FFE4728091D6}"/>
                </a:ext>
              </a:extLst>
            </xdr:cNvPr>
            <xdr:cNvCxnSpPr/>
          </xdr:nvCxnSpPr>
          <xdr:spPr>
            <a:xfrm flipH="1">
              <a:off x="3162301" y="2581275"/>
              <a:ext cx="190499" cy="314325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443EEB7A-CFCB-4DA4-BC7D-B80BD866C113}"/>
                </a:ext>
              </a:extLst>
            </xdr:cNvPr>
            <xdr:cNvCxnSpPr/>
          </xdr:nvCxnSpPr>
          <xdr:spPr>
            <a:xfrm>
              <a:off x="3152775" y="2895600"/>
              <a:ext cx="257175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57801AD7-AF52-48B7-AA39-9B04C00804AF}"/>
                </a:ext>
              </a:extLst>
            </xdr:cNvPr>
            <xdr:cNvCxnSpPr/>
          </xdr:nvCxnSpPr>
          <xdr:spPr>
            <a:xfrm flipH="1">
              <a:off x="3105150" y="2895600"/>
              <a:ext cx="295275" cy="304800"/>
            </a:xfrm>
            <a:prstGeom prst="line">
              <a:avLst/>
            </a:prstGeom>
            <a:ln>
              <a:headEnd type="none"/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oneCellAnchor>
    <xdr:from>
      <xdr:col>1</xdr:col>
      <xdr:colOff>1181100</xdr:colOff>
      <xdr:row>155</xdr:row>
      <xdr:rowOff>95250</xdr:rowOff>
    </xdr:from>
    <xdr:ext cx="988989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A9FF591-ED02-42C4-84AD-6C8DBC474D21}"/>
            </a:ext>
          </a:extLst>
        </xdr:cNvPr>
        <xdr:cNvSpPr txBox="1"/>
      </xdr:nvSpPr>
      <xdr:spPr>
        <a:xfrm>
          <a:off x="1790700" y="28127325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Compressor-1</a:t>
          </a:r>
        </a:p>
      </xdr:txBody>
    </xdr:sp>
    <xdr:clientData/>
  </xdr:oneCellAnchor>
  <xdr:oneCellAnchor>
    <xdr:from>
      <xdr:col>2</xdr:col>
      <xdr:colOff>38100</xdr:colOff>
      <xdr:row>152</xdr:row>
      <xdr:rowOff>95250</xdr:rowOff>
    </xdr:from>
    <xdr:ext cx="799450" cy="43678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4CB0BBB-1017-4FBB-A98F-CC1C7C38ED8D}"/>
            </a:ext>
          </a:extLst>
        </xdr:cNvPr>
        <xdr:cNvSpPr txBox="1"/>
      </xdr:nvSpPr>
      <xdr:spPr>
        <a:xfrm>
          <a:off x="2857500" y="27584400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Cooler-1</a:t>
          </a:r>
        </a:p>
      </xdr:txBody>
    </xdr:sp>
    <xdr:clientData/>
  </xdr:oneCellAnchor>
  <xdr:oneCellAnchor>
    <xdr:from>
      <xdr:col>3</xdr:col>
      <xdr:colOff>30440</xdr:colOff>
      <xdr:row>154</xdr:row>
      <xdr:rowOff>123825</xdr:rowOff>
    </xdr:from>
    <xdr:ext cx="814775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6EFA3D5-8027-4578-9431-DC95DCEEB52C}"/>
            </a:ext>
          </a:extLst>
        </xdr:cNvPr>
        <xdr:cNvSpPr txBox="1"/>
      </xdr:nvSpPr>
      <xdr:spPr>
        <a:xfrm>
          <a:off x="3688040" y="27974925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Scrubber-1</a:t>
          </a:r>
        </a:p>
      </xdr:txBody>
    </xdr:sp>
    <xdr:clientData/>
  </xdr:oneCellAnchor>
  <xdr:oneCellAnchor>
    <xdr:from>
      <xdr:col>3</xdr:col>
      <xdr:colOff>1047750</xdr:colOff>
      <xdr:row>153</xdr:row>
      <xdr:rowOff>57150</xdr:rowOff>
    </xdr:from>
    <xdr:ext cx="988989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A50E998-F2C0-4BEF-A122-B48DCAC32D17}"/>
            </a:ext>
          </a:extLst>
        </xdr:cNvPr>
        <xdr:cNvSpPr txBox="1"/>
      </xdr:nvSpPr>
      <xdr:spPr>
        <a:xfrm>
          <a:off x="4705350" y="27727275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Compressor-2</a:t>
          </a:r>
        </a:p>
      </xdr:txBody>
    </xdr:sp>
    <xdr:clientData/>
  </xdr:oneCellAnchor>
  <xdr:oneCellAnchor>
    <xdr:from>
      <xdr:col>4</xdr:col>
      <xdr:colOff>1009650</xdr:colOff>
      <xdr:row>150</xdr:row>
      <xdr:rowOff>95250</xdr:rowOff>
    </xdr:from>
    <xdr:ext cx="799450" cy="436786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12930B4-5E27-4B1A-A6F6-F6E8A130ECF6}"/>
            </a:ext>
          </a:extLst>
        </xdr:cNvPr>
        <xdr:cNvSpPr txBox="1"/>
      </xdr:nvSpPr>
      <xdr:spPr>
        <a:xfrm>
          <a:off x="5734050" y="27222450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Cooler-2</a:t>
          </a:r>
        </a:p>
      </xdr:txBody>
    </xdr:sp>
    <xdr:clientData/>
  </xdr:oneCellAnchor>
  <xdr:oneCellAnchor>
    <xdr:from>
      <xdr:col>4</xdr:col>
      <xdr:colOff>1783040</xdr:colOff>
      <xdr:row>152</xdr:row>
      <xdr:rowOff>85725</xdr:rowOff>
    </xdr:from>
    <xdr:ext cx="814775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2263B02-327D-4939-B9A2-96B8309E8969}"/>
            </a:ext>
          </a:extLst>
        </xdr:cNvPr>
        <xdr:cNvSpPr txBox="1"/>
      </xdr:nvSpPr>
      <xdr:spPr>
        <a:xfrm>
          <a:off x="6507440" y="27574875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Scrubber-2</a:t>
          </a:r>
        </a:p>
      </xdr:txBody>
    </xdr:sp>
    <xdr:clientData/>
  </xdr:oneCellAnchor>
  <xdr:oneCellAnchor>
    <xdr:from>
      <xdr:col>4</xdr:col>
      <xdr:colOff>2886075</xdr:colOff>
      <xdr:row>151</xdr:row>
      <xdr:rowOff>57150</xdr:rowOff>
    </xdr:from>
    <xdr:ext cx="988989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5BDB9BF-A9E4-4137-8447-AF2E1B35B4FA}"/>
            </a:ext>
          </a:extLst>
        </xdr:cNvPr>
        <xdr:cNvSpPr txBox="1"/>
      </xdr:nvSpPr>
      <xdr:spPr>
        <a:xfrm>
          <a:off x="7610475" y="27365325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Compressor-3</a:t>
          </a:r>
        </a:p>
      </xdr:txBody>
    </xdr:sp>
    <xdr:clientData/>
  </xdr:oneCellAnchor>
  <xdr:oneCellAnchor>
    <xdr:from>
      <xdr:col>5</xdr:col>
      <xdr:colOff>161925</xdr:colOff>
      <xdr:row>148</xdr:row>
      <xdr:rowOff>95250</xdr:rowOff>
    </xdr:from>
    <xdr:ext cx="799450" cy="436786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6C19B4B-EAA5-4F52-B682-FD436755918E}"/>
            </a:ext>
          </a:extLst>
        </xdr:cNvPr>
        <xdr:cNvSpPr txBox="1"/>
      </xdr:nvSpPr>
      <xdr:spPr>
        <a:xfrm>
          <a:off x="8639175" y="26860500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Cooler-3</a:t>
          </a:r>
        </a:p>
      </xdr:txBody>
    </xdr:sp>
    <xdr:clientData/>
  </xdr:oneCellAnchor>
  <xdr:oneCellAnchor>
    <xdr:from>
      <xdr:col>6</xdr:col>
      <xdr:colOff>325715</xdr:colOff>
      <xdr:row>150</xdr:row>
      <xdr:rowOff>85725</xdr:rowOff>
    </xdr:from>
    <xdr:ext cx="814775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9A133283-BF18-4FF8-8024-EB81022BB3A8}"/>
            </a:ext>
          </a:extLst>
        </xdr:cNvPr>
        <xdr:cNvSpPr txBox="1"/>
      </xdr:nvSpPr>
      <xdr:spPr>
        <a:xfrm>
          <a:off x="9412565" y="27212925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Scrubber-3</a:t>
          </a:r>
        </a:p>
      </xdr:txBody>
    </xdr:sp>
    <xdr:clientData/>
  </xdr:oneCellAnchor>
  <xdr:oneCellAnchor>
    <xdr:from>
      <xdr:col>1</xdr:col>
      <xdr:colOff>352425</xdr:colOff>
      <xdr:row>148</xdr:row>
      <xdr:rowOff>161925</xdr:rowOff>
    </xdr:from>
    <xdr:ext cx="761170" cy="609013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93FE623-C9E9-4C59-8E71-DEC211AC2630}"/>
            </a:ext>
          </a:extLst>
        </xdr:cNvPr>
        <xdr:cNvSpPr txBox="1"/>
      </xdr:nvSpPr>
      <xdr:spPr>
        <a:xfrm>
          <a:off x="962025" y="26927175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100</a:t>
          </a:r>
          <a:r>
            <a:rPr lang="en-ID" sz="1100" baseline="0"/>
            <a:t> psia</a:t>
          </a:r>
        </a:p>
        <a:p>
          <a:r>
            <a:rPr lang="en-ID" sz="1100" baseline="0"/>
            <a:t>100</a:t>
          </a:r>
          <a:r>
            <a:rPr lang="en-ID" sz="1100" baseline="30000"/>
            <a:t>o</a:t>
          </a:r>
          <a:r>
            <a:rPr lang="en-ID" sz="1100" baseline="0"/>
            <a:t>F</a:t>
          </a:r>
          <a:endParaRPr lang="en-ID" sz="1100"/>
        </a:p>
      </xdr:txBody>
    </xdr:sp>
    <xdr:clientData/>
  </xdr:oneCellAnchor>
  <xdr:oneCellAnchor>
    <xdr:from>
      <xdr:col>1</xdr:col>
      <xdr:colOff>1809750</xdr:colOff>
      <xdr:row>149</xdr:row>
      <xdr:rowOff>38100</xdr:rowOff>
    </xdr:from>
    <xdr:ext cx="660245" cy="436786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AF33ADF-F950-4880-8509-CF078B0AE1F9}"/>
            </a:ext>
          </a:extLst>
        </xdr:cNvPr>
        <xdr:cNvSpPr txBox="1"/>
      </xdr:nvSpPr>
      <xdr:spPr>
        <a:xfrm>
          <a:off x="2419350" y="26984325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208 psia</a:t>
          </a:r>
        </a:p>
        <a:p>
          <a:r>
            <a:rPr lang="en-ID" sz="1100" baseline="0"/>
            <a:t>176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2</xdr:col>
      <xdr:colOff>514350</xdr:colOff>
      <xdr:row>150</xdr:row>
      <xdr:rowOff>9525</xdr:rowOff>
    </xdr:from>
    <xdr:ext cx="513602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B999736-E9C7-4EE6-86D8-BBF101C8C271}"/>
            </a:ext>
          </a:extLst>
        </xdr:cNvPr>
        <xdr:cNvSpPr txBox="1"/>
      </xdr:nvSpPr>
      <xdr:spPr>
        <a:xfrm>
          <a:off x="3333750" y="27136725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3</xdr:col>
      <xdr:colOff>819150</xdr:colOff>
      <xdr:row>145</xdr:row>
      <xdr:rowOff>114300</xdr:rowOff>
    </xdr:from>
    <xdr:ext cx="761170" cy="609013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747AB235-2C24-4AD0-A538-32DB4936EAC8}"/>
            </a:ext>
          </a:extLst>
        </xdr:cNvPr>
        <xdr:cNvSpPr txBox="1"/>
      </xdr:nvSpPr>
      <xdr:spPr>
        <a:xfrm>
          <a:off x="4476750" y="26336625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203 psia</a:t>
          </a:r>
        </a:p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1</xdr:col>
      <xdr:colOff>1990725</xdr:colOff>
      <xdr:row>146</xdr:row>
      <xdr:rowOff>161925</xdr:rowOff>
    </xdr:from>
    <xdr:ext cx="1383456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D2E90EB-032C-4685-A26D-995014EBD183}"/>
            </a:ext>
          </a:extLst>
        </xdr:cNvPr>
        <xdr:cNvSpPr txBox="1"/>
      </xdr:nvSpPr>
      <xdr:spPr>
        <a:xfrm>
          <a:off x="2600325" y="26565225"/>
          <a:ext cx="13834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Pressure drop = 5 psi</a:t>
          </a:r>
        </a:p>
      </xdr:txBody>
    </xdr:sp>
    <xdr:clientData/>
  </xdr:oneCellAnchor>
  <xdr:oneCellAnchor>
    <xdr:from>
      <xdr:col>4</xdr:col>
      <xdr:colOff>552450</xdr:colOff>
      <xdr:row>147</xdr:row>
      <xdr:rowOff>47625</xdr:rowOff>
    </xdr:from>
    <xdr:ext cx="660245" cy="436786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D9370E3-4A13-4E06-8CBC-BEB7BE344305}"/>
            </a:ext>
          </a:extLst>
        </xdr:cNvPr>
        <xdr:cNvSpPr txBox="1"/>
      </xdr:nvSpPr>
      <xdr:spPr>
        <a:xfrm>
          <a:off x="5270126" y="26381449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427 psia</a:t>
          </a:r>
        </a:p>
        <a:p>
          <a:r>
            <a:rPr lang="en-ID" sz="1100" baseline="0"/>
            <a:t>200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1466850</xdr:colOff>
      <xdr:row>148</xdr:row>
      <xdr:rowOff>38100</xdr:rowOff>
    </xdr:from>
    <xdr:ext cx="513602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7D68AD9-74BB-4BEC-B495-9E8BAAF53246}"/>
            </a:ext>
          </a:extLst>
        </xdr:cNvPr>
        <xdr:cNvSpPr txBox="1"/>
      </xdr:nvSpPr>
      <xdr:spPr>
        <a:xfrm>
          <a:off x="6191250" y="26803350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1981200</xdr:colOff>
      <xdr:row>143</xdr:row>
      <xdr:rowOff>133350</xdr:rowOff>
    </xdr:from>
    <xdr:ext cx="761170" cy="609013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0BF02EB-639E-4AF3-BB69-266E409F8FDF}"/>
            </a:ext>
          </a:extLst>
        </xdr:cNvPr>
        <xdr:cNvSpPr txBox="1"/>
      </xdr:nvSpPr>
      <xdr:spPr>
        <a:xfrm>
          <a:off x="6705600" y="25993725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422 psia</a:t>
          </a:r>
        </a:p>
        <a:p>
          <a:r>
            <a:rPr lang="en-ID" sz="1100" baseline="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3448050</xdr:colOff>
      <xdr:row>145</xdr:row>
      <xdr:rowOff>57150</xdr:rowOff>
    </xdr:from>
    <xdr:ext cx="660245" cy="436786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A27BF3-F1DE-4ECA-875C-4F741C8E9E94}"/>
            </a:ext>
          </a:extLst>
        </xdr:cNvPr>
        <xdr:cNvSpPr txBox="1"/>
      </xdr:nvSpPr>
      <xdr:spPr>
        <a:xfrm>
          <a:off x="8172450" y="26279475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900 psia</a:t>
          </a:r>
        </a:p>
        <a:p>
          <a:r>
            <a:rPr lang="en-ID" sz="1100" baseline="0"/>
            <a:t>201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5</xdr:col>
      <xdr:colOff>590550</xdr:colOff>
      <xdr:row>146</xdr:row>
      <xdr:rowOff>47625</xdr:rowOff>
    </xdr:from>
    <xdr:ext cx="513602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2D304C3-0669-4E0F-BDAA-7ED7DCD2C429}"/>
            </a:ext>
          </a:extLst>
        </xdr:cNvPr>
        <xdr:cNvSpPr txBox="1"/>
      </xdr:nvSpPr>
      <xdr:spPr>
        <a:xfrm>
          <a:off x="9067800" y="26450925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6</xdr:col>
      <xdr:colOff>561975</xdr:colOff>
      <xdr:row>141</xdr:row>
      <xdr:rowOff>104775</xdr:rowOff>
    </xdr:from>
    <xdr:ext cx="761170" cy="609013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4863BFD-A3EE-429F-AA9B-7E30F8C4552C}"/>
            </a:ext>
          </a:extLst>
        </xdr:cNvPr>
        <xdr:cNvSpPr txBox="1"/>
      </xdr:nvSpPr>
      <xdr:spPr>
        <a:xfrm>
          <a:off x="9648825" y="25603200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900 psia</a:t>
          </a:r>
        </a:p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1047750</xdr:colOff>
      <xdr:row>142</xdr:row>
      <xdr:rowOff>19050</xdr:rowOff>
    </xdr:from>
    <xdr:ext cx="1383456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99D2746-2B10-499C-BE2E-A2623B20F52A}"/>
            </a:ext>
          </a:extLst>
        </xdr:cNvPr>
        <xdr:cNvSpPr txBox="1"/>
      </xdr:nvSpPr>
      <xdr:spPr>
        <a:xfrm>
          <a:off x="5772150" y="25698450"/>
          <a:ext cx="13834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Pressure drop = 5 psi</a:t>
          </a:r>
        </a:p>
      </xdr:txBody>
    </xdr:sp>
    <xdr:clientData/>
  </xdr:oneCellAnchor>
  <xdr:oneCellAnchor>
    <xdr:from>
      <xdr:col>1</xdr:col>
      <xdr:colOff>1352550</xdr:colOff>
      <xdr:row>157</xdr:row>
      <xdr:rowOff>123825</xdr:rowOff>
    </xdr:from>
    <xdr:ext cx="698909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4FF82726-7A6F-4A6A-AB04-5F91EF7BAB9C}"/>
            </a:ext>
          </a:extLst>
        </xdr:cNvPr>
        <xdr:cNvSpPr txBox="1"/>
      </xdr:nvSpPr>
      <xdr:spPr>
        <a:xfrm>
          <a:off x="1962150" y="28517850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94.58</a:t>
          </a:r>
          <a:r>
            <a:rPr lang="en-ID" sz="1100" baseline="0"/>
            <a:t> HP</a:t>
          </a:r>
          <a:endParaRPr lang="en-ID" sz="1100"/>
        </a:p>
      </xdr:txBody>
    </xdr:sp>
    <xdr:clientData/>
  </xdr:oneCellAnchor>
  <xdr:oneCellAnchor>
    <xdr:from>
      <xdr:col>4</xdr:col>
      <xdr:colOff>152400</xdr:colOff>
      <xdr:row>157</xdr:row>
      <xdr:rowOff>133350</xdr:rowOff>
    </xdr:from>
    <xdr:ext cx="698909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70C6691-F162-4EAD-B014-065E58703FDB}"/>
            </a:ext>
          </a:extLst>
        </xdr:cNvPr>
        <xdr:cNvSpPr txBox="1"/>
      </xdr:nvSpPr>
      <xdr:spPr>
        <a:xfrm>
          <a:off x="4876800" y="28527375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96.26</a:t>
          </a:r>
          <a:r>
            <a:rPr lang="en-ID" sz="1100" baseline="0"/>
            <a:t> HP</a:t>
          </a:r>
          <a:endParaRPr lang="en-ID" sz="1100"/>
        </a:p>
      </xdr:txBody>
    </xdr:sp>
    <xdr:clientData/>
  </xdr:oneCellAnchor>
  <xdr:oneCellAnchor>
    <xdr:from>
      <xdr:col>4</xdr:col>
      <xdr:colOff>3076575</xdr:colOff>
      <xdr:row>157</xdr:row>
      <xdr:rowOff>152400</xdr:rowOff>
    </xdr:from>
    <xdr:ext cx="698909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5BCD031-241C-4FAE-B63A-5B9E3528CDAD}"/>
            </a:ext>
          </a:extLst>
        </xdr:cNvPr>
        <xdr:cNvSpPr txBox="1"/>
      </xdr:nvSpPr>
      <xdr:spPr>
        <a:xfrm>
          <a:off x="7800975" y="28546425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88.87 </a:t>
          </a:r>
          <a:r>
            <a:rPr lang="en-ID" sz="1100" baseline="0"/>
            <a:t>HP</a:t>
          </a:r>
          <a:endParaRPr lang="en-ID" sz="1100"/>
        </a:p>
      </xdr:txBody>
    </xdr:sp>
    <xdr:clientData/>
  </xdr:oneCellAnchor>
  <xdr:twoCellAnchor>
    <xdr:from>
      <xdr:col>1</xdr:col>
      <xdr:colOff>1595438</xdr:colOff>
      <xdr:row>159</xdr:row>
      <xdr:rowOff>128589</xdr:rowOff>
    </xdr:from>
    <xdr:to>
      <xdr:col>4</xdr:col>
      <xdr:colOff>3390900</xdr:colOff>
      <xdr:row>162</xdr:row>
      <xdr:rowOff>38103</xdr:rowOff>
    </xdr:to>
    <xdr:sp macro="" textlink="">
      <xdr:nvSpPr>
        <xdr:cNvPr id="72" name="Right Brace 71">
          <a:extLst>
            <a:ext uri="{FF2B5EF4-FFF2-40B4-BE49-F238E27FC236}">
              <a16:creationId xmlns:a16="http://schemas.microsoft.com/office/drawing/2014/main" id="{EAC4DD28-2EAC-4C93-864C-DF51467BC013}"/>
            </a:ext>
          </a:extLst>
        </xdr:cNvPr>
        <xdr:cNvSpPr/>
      </xdr:nvSpPr>
      <xdr:spPr>
        <a:xfrm rot="5400000">
          <a:off x="4933949" y="26155653"/>
          <a:ext cx="452439" cy="5910262"/>
        </a:xfrm>
        <a:prstGeom prst="rightBrace">
          <a:avLst>
            <a:gd name="adj1" fmla="val 8333"/>
            <a:gd name="adj2" fmla="val 50161"/>
          </a:avLst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4</xdr:col>
      <xdr:colOff>104775</xdr:colOff>
      <xdr:row>161</xdr:row>
      <xdr:rowOff>161925</xdr:rowOff>
    </xdr:from>
    <xdr:ext cx="770404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5787289-3BCE-43F6-A88D-ABA04BA84F55}"/>
            </a:ext>
          </a:extLst>
        </xdr:cNvPr>
        <xdr:cNvSpPr txBox="1"/>
      </xdr:nvSpPr>
      <xdr:spPr>
        <a:xfrm>
          <a:off x="4829175" y="29279850"/>
          <a:ext cx="770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279.71 HP</a:t>
          </a:r>
        </a:p>
      </xdr:txBody>
    </xdr:sp>
    <xdr:clientData/>
  </xdr:oneCellAnchor>
  <xdr:twoCellAnchor editAs="oneCell">
    <xdr:from>
      <xdr:col>30</xdr:col>
      <xdr:colOff>463902</xdr:colOff>
      <xdr:row>43</xdr:row>
      <xdr:rowOff>97357</xdr:rowOff>
    </xdr:from>
    <xdr:to>
      <xdr:col>41</xdr:col>
      <xdr:colOff>535478</xdr:colOff>
      <xdr:row>67</xdr:row>
      <xdr:rowOff>102165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952896F-DCB3-4F49-AA4B-E4994DE6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181152" y="7879282"/>
          <a:ext cx="6777176" cy="4348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3</xdr:row>
      <xdr:rowOff>38100</xdr:rowOff>
    </xdr:from>
    <xdr:to>
      <xdr:col>7</xdr:col>
      <xdr:colOff>580486</xdr:colOff>
      <xdr:row>10</xdr:row>
      <xdr:rowOff>56981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51EA2-3A10-4615-85A0-BA3B4504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09600"/>
          <a:ext cx="4314286" cy="13523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114300</xdr:rowOff>
    </xdr:from>
    <xdr:to>
      <xdr:col>9</xdr:col>
      <xdr:colOff>151749</xdr:colOff>
      <xdr:row>11</xdr:row>
      <xdr:rowOff>9300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6D564-1EE4-4496-B962-3CB2E5AD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304800"/>
          <a:ext cx="5209524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</xdr:row>
      <xdr:rowOff>19050</xdr:rowOff>
    </xdr:from>
    <xdr:to>
      <xdr:col>8</xdr:col>
      <xdr:colOff>313767</xdr:colOff>
      <xdr:row>15</xdr:row>
      <xdr:rowOff>95193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62D885-A1A2-4622-A6DE-DE039013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2495550"/>
          <a:ext cx="4466667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102</xdr:row>
      <xdr:rowOff>171450</xdr:rowOff>
    </xdr:from>
    <xdr:to>
      <xdr:col>8</xdr:col>
      <xdr:colOff>217792</xdr:colOff>
      <xdr:row>124</xdr:row>
      <xdr:rowOff>113809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FA8DA-ABE4-4570-A193-9B1CC66B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87975"/>
          <a:ext cx="10266667" cy="39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484044</xdr:colOff>
      <xdr:row>1</xdr:row>
      <xdr:rowOff>155864</xdr:rowOff>
    </xdr:from>
    <xdr:to>
      <xdr:col>13</xdr:col>
      <xdr:colOff>150101</xdr:colOff>
      <xdr:row>33</xdr:row>
      <xdr:rowOff>77219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277ADA-1D06-4487-A281-8B751976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408" y="329046"/>
          <a:ext cx="4515148" cy="5463173"/>
        </a:xfrm>
        <a:prstGeom prst="rect">
          <a:avLst/>
        </a:prstGeom>
      </xdr:spPr>
    </xdr:pic>
    <xdr:clientData/>
  </xdr:twoCellAnchor>
  <xdr:twoCellAnchor editAs="oneCell">
    <xdr:from>
      <xdr:col>13</xdr:col>
      <xdr:colOff>294410</xdr:colOff>
      <xdr:row>0</xdr:row>
      <xdr:rowOff>0</xdr:rowOff>
    </xdr:from>
    <xdr:to>
      <xdr:col>21</xdr:col>
      <xdr:colOff>26272</xdr:colOff>
      <xdr:row>33</xdr:row>
      <xdr:rowOff>56429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D2D31E-3864-4DD6-A0CA-46A6E4D1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0865" y="0"/>
          <a:ext cx="4580952" cy="5771429"/>
        </a:xfrm>
        <a:prstGeom prst="rect">
          <a:avLst/>
        </a:prstGeom>
      </xdr:spPr>
    </xdr:pic>
    <xdr:clientData/>
  </xdr:twoCellAnchor>
  <xdr:twoCellAnchor editAs="oneCell">
    <xdr:from>
      <xdr:col>21</xdr:col>
      <xdr:colOff>111041</xdr:colOff>
      <xdr:row>0</xdr:row>
      <xdr:rowOff>0</xdr:rowOff>
    </xdr:from>
    <xdr:to>
      <xdr:col>28</xdr:col>
      <xdr:colOff>448021</xdr:colOff>
      <xdr:row>33</xdr:row>
      <xdr:rowOff>56429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F98971-4B48-45B4-BAB1-89792DEE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18894" y="0"/>
          <a:ext cx="4572803" cy="5973135"/>
        </a:xfrm>
        <a:prstGeom prst="rect">
          <a:avLst/>
        </a:prstGeom>
      </xdr:spPr>
    </xdr:pic>
    <xdr:clientData/>
  </xdr:twoCellAnchor>
  <xdr:twoCellAnchor editAs="oneCell">
    <xdr:from>
      <xdr:col>28</xdr:col>
      <xdr:colOff>416001</xdr:colOff>
      <xdr:row>0</xdr:row>
      <xdr:rowOff>0</xdr:rowOff>
    </xdr:from>
    <xdr:to>
      <xdr:col>36</xdr:col>
      <xdr:colOff>140659</xdr:colOff>
      <xdr:row>33</xdr:row>
      <xdr:rowOff>56429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F6F0D5-2471-4BC2-935A-D53373BF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26965" y="0"/>
          <a:ext cx="4623230" cy="589389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136073</xdr:colOff>
      <xdr:row>35</xdr:row>
      <xdr:rowOff>163286</xdr:rowOff>
    </xdr:from>
    <xdr:to>
      <xdr:col>16</xdr:col>
      <xdr:colOff>314823</xdr:colOff>
      <xdr:row>63</xdr:row>
      <xdr:rowOff>115048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5C988-2571-4296-BF09-E0783C97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3644" y="6354536"/>
          <a:ext cx="6914286" cy="4904762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35</xdr:row>
      <xdr:rowOff>108857</xdr:rowOff>
    </xdr:from>
    <xdr:to>
      <xdr:col>28</xdr:col>
      <xdr:colOff>52191</xdr:colOff>
      <xdr:row>63</xdr:row>
      <xdr:rowOff>108238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E288AF-96BF-44E3-BE10-27B1EF6D7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44107" y="6300107"/>
          <a:ext cx="7019048" cy="4952381"/>
        </a:xfrm>
        <a:prstGeom prst="rect">
          <a:avLst/>
        </a:prstGeom>
      </xdr:spPr>
    </xdr:pic>
    <xdr:clientData/>
  </xdr:twoCellAnchor>
  <xdr:twoCellAnchor editAs="oneCell">
    <xdr:from>
      <xdr:col>28</xdr:col>
      <xdr:colOff>261937</xdr:colOff>
      <xdr:row>36</xdr:row>
      <xdr:rowOff>23812</xdr:rowOff>
    </xdr:from>
    <xdr:to>
      <xdr:col>40</xdr:col>
      <xdr:colOff>254200</xdr:colOff>
      <xdr:row>63</xdr:row>
      <xdr:rowOff>23812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4A1559-4561-4090-848A-BDF5F986D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00" y="6881812"/>
          <a:ext cx="7421763" cy="5143500"/>
        </a:xfrm>
        <a:prstGeom prst="rect">
          <a:avLst/>
        </a:prstGeom>
      </xdr:spPr>
    </xdr:pic>
    <xdr:clientData/>
  </xdr:twoCellAnchor>
  <xdr:twoCellAnchor editAs="oneCell">
    <xdr:from>
      <xdr:col>40</xdr:col>
      <xdr:colOff>419100</xdr:colOff>
      <xdr:row>36</xdr:row>
      <xdr:rowOff>114300</xdr:rowOff>
    </xdr:from>
    <xdr:to>
      <xdr:col>51</xdr:col>
      <xdr:colOff>503976</xdr:colOff>
      <xdr:row>61</xdr:row>
      <xdr:rowOff>104180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D7C3A43-FAC4-49F8-8AA6-74F429C1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099000" y="6972300"/>
          <a:ext cx="6790476" cy="4752380"/>
        </a:xfrm>
        <a:prstGeom prst="rect">
          <a:avLst/>
        </a:prstGeom>
      </xdr:spPr>
    </xdr:pic>
    <xdr:clientData/>
  </xdr:twoCellAnchor>
  <xdr:twoCellAnchor editAs="oneCell">
    <xdr:from>
      <xdr:col>9</xdr:col>
      <xdr:colOff>470648</xdr:colOff>
      <xdr:row>83</xdr:row>
      <xdr:rowOff>11206</xdr:rowOff>
    </xdr:from>
    <xdr:to>
      <xdr:col>17</xdr:col>
      <xdr:colOff>467802</xdr:colOff>
      <xdr:row>114</xdr:row>
      <xdr:rowOff>91184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80DB13-1BF3-47B9-9DBD-98557C1A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17089" y="14892618"/>
          <a:ext cx="4838095" cy="5638095"/>
        </a:xfrm>
        <a:prstGeom prst="rect">
          <a:avLst/>
        </a:prstGeom>
      </xdr:spPr>
    </xdr:pic>
    <xdr:clientData/>
  </xdr:twoCellAnchor>
  <xdr:twoCellAnchor>
    <xdr:from>
      <xdr:col>1</xdr:col>
      <xdr:colOff>818029</xdr:colOff>
      <xdr:row>129</xdr:row>
      <xdr:rowOff>33618</xdr:rowOff>
    </xdr:from>
    <xdr:to>
      <xdr:col>12</xdr:col>
      <xdr:colOff>67235</xdr:colOff>
      <xdr:row>140</xdr:row>
      <xdr:rowOff>134471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2C8D49CB-A0E6-4206-A3C3-345241126303}"/>
            </a:ext>
          </a:extLst>
        </xdr:cNvPr>
        <xdr:cNvGrpSpPr/>
      </xdr:nvGrpSpPr>
      <xdr:grpSpPr>
        <a:xfrm>
          <a:off x="1429634" y="23314723"/>
          <a:ext cx="11240680" cy="2086064"/>
          <a:chOff x="1423147" y="23162559"/>
          <a:chExt cx="10877549" cy="1666875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368AFE29-22B9-4AFC-8B3C-FC5243B08030}"/>
              </a:ext>
            </a:extLst>
          </xdr:cNvPr>
          <xdr:cNvGrpSpPr/>
        </xdr:nvGrpSpPr>
        <xdr:grpSpPr>
          <a:xfrm>
            <a:off x="1423147" y="23429259"/>
            <a:ext cx="8686799" cy="1400175"/>
            <a:chOff x="990600" y="7858125"/>
            <a:chExt cx="6572249" cy="1400175"/>
          </a:xfrm>
        </xdr:grpSpPr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92C15EAF-9A9D-43BC-A4BA-5A882E475A91}"/>
                </a:ext>
              </a:extLst>
            </xdr:cNvPr>
            <xdr:cNvGrpSpPr/>
          </xdr:nvGrpSpPr>
          <xdr:grpSpPr>
            <a:xfrm>
              <a:off x="990600" y="8124825"/>
              <a:ext cx="4381498" cy="1133475"/>
              <a:chOff x="1009651" y="5429250"/>
              <a:chExt cx="4381498" cy="1133475"/>
            </a:xfrm>
          </xdr:grpSpPr>
          <xdr:grpSp>
            <xdr:nvGrpSpPr>
              <xdr:cNvPr id="26" name="Group 25">
                <a:extLst>
                  <a:ext uri="{FF2B5EF4-FFF2-40B4-BE49-F238E27FC236}">
                    <a16:creationId xmlns:a16="http://schemas.microsoft.com/office/drawing/2014/main" id="{C68F029A-39A1-4BFF-8A72-040FFC69D2BF}"/>
                  </a:ext>
                </a:extLst>
              </xdr:cNvPr>
              <xdr:cNvGrpSpPr/>
            </xdr:nvGrpSpPr>
            <xdr:grpSpPr>
              <a:xfrm>
                <a:off x="1009651" y="5695951"/>
                <a:ext cx="2209799" cy="866774"/>
                <a:chOff x="1076325" y="2247900"/>
                <a:chExt cx="3895725" cy="1613013"/>
              </a:xfrm>
            </xdr:grpSpPr>
            <xdr:sp macro="" textlink="">
              <xdr:nvSpPr>
                <xdr:cNvPr id="39" name="Flowchart: Manual Operation 38">
                  <a:extLst>
                    <a:ext uri="{FF2B5EF4-FFF2-40B4-BE49-F238E27FC236}">
                      <a16:creationId xmlns:a16="http://schemas.microsoft.com/office/drawing/2014/main" id="{E73A878B-78BF-4B0D-8C55-A8DF5F482766}"/>
                    </a:ext>
                  </a:extLst>
                </xdr:cNvPr>
                <xdr:cNvSpPr/>
              </xdr:nvSpPr>
              <xdr:spPr>
                <a:xfrm rot="16200000">
                  <a:off x="1774771" y="3283006"/>
                  <a:ext cx="674801" cy="481014"/>
                </a:xfrm>
                <a:prstGeom prst="flowChartManualOperation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cxnSp macro="">
              <xdr:nvCxnSpPr>
                <xdr:cNvPr id="40" name="Connector: Elbow 39">
                  <a:extLst>
                    <a:ext uri="{FF2B5EF4-FFF2-40B4-BE49-F238E27FC236}">
                      <a16:creationId xmlns:a16="http://schemas.microsoft.com/office/drawing/2014/main" id="{8938C44E-954A-4A70-9FCF-BC670B6C687E}"/>
                    </a:ext>
                  </a:extLst>
                </xdr:cNvPr>
                <xdr:cNvCxnSpPr/>
              </xdr:nvCxnSpPr>
              <xdr:spPr>
                <a:xfrm>
                  <a:off x="1076325" y="2743200"/>
                  <a:ext cx="935834" cy="507207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1" name="Connector: Elbow 40">
                  <a:extLst>
                    <a:ext uri="{FF2B5EF4-FFF2-40B4-BE49-F238E27FC236}">
                      <a16:creationId xmlns:a16="http://schemas.microsoft.com/office/drawing/2014/main" id="{B11CDCBC-B0CA-485A-A99B-7DB79852A3B0}"/>
                    </a:ext>
                  </a:extLst>
                </xdr:cNvPr>
                <xdr:cNvCxnSpPr/>
              </xdr:nvCxnSpPr>
              <xdr:spPr>
                <a:xfrm rot="5400000" flipH="1" flipV="1">
                  <a:off x="2448716" y="2692406"/>
                  <a:ext cx="386568" cy="812006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42" name="Oval 41">
                  <a:extLst>
                    <a:ext uri="{FF2B5EF4-FFF2-40B4-BE49-F238E27FC236}">
                      <a16:creationId xmlns:a16="http://schemas.microsoft.com/office/drawing/2014/main" id="{794E8CD3-4ED5-4DC7-B276-26B06712E002}"/>
                    </a:ext>
                  </a:extLst>
                </xdr:cNvPr>
                <xdr:cNvSpPr/>
              </xdr:nvSpPr>
              <xdr:spPr>
                <a:xfrm>
                  <a:off x="3038475" y="2676525"/>
                  <a:ext cx="485775" cy="476250"/>
                </a:xfrm>
                <a:prstGeom prst="ellipse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sp macro="" textlink="">
              <xdr:nvSpPr>
                <xdr:cNvPr id="43" name="Cylinder 42">
                  <a:extLst>
                    <a:ext uri="{FF2B5EF4-FFF2-40B4-BE49-F238E27FC236}">
                      <a16:creationId xmlns:a16="http://schemas.microsoft.com/office/drawing/2014/main" id="{33C5795C-D2CF-4283-B95E-E8FDFF616C24}"/>
                    </a:ext>
                  </a:extLst>
                </xdr:cNvPr>
                <xdr:cNvSpPr/>
              </xdr:nvSpPr>
              <xdr:spPr>
                <a:xfrm>
                  <a:off x="3924300" y="2400300"/>
                  <a:ext cx="533400" cy="1028700"/>
                </a:xfrm>
                <a:prstGeom prst="can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cxnSp macro="">
              <xdr:nvCxnSpPr>
                <xdr:cNvPr id="44" name="Straight Arrow Connector 43">
                  <a:extLst>
                    <a:ext uri="{FF2B5EF4-FFF2-40B4-BE49-F238E27FC236}">
                      <a16:creationId xmlns:a16="http://schemas.microsoft.com/office/drawing/2014/main" id="{A4F71617-B0E2-4F3F-A4FB-068CB3A49357}"/>
                    </a:ext>
                  </a:extLst>
                </xdr:cNvPr>
                <xdr:cNvCxnSpPr>
                  <a:stCxn id="42" idx="6"/>
                  <a:endCxn id="43" idx="2"/>
                </xdr:cNvCxnSpPr>
              </xdr:nvCxnSpPr>
              <xdr:spPr>
                <a:xfrm>
                  <a:off x="3524250" y="2914650"/>
                  <a:ext cx="400050" cy="0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5" name="Connector: Elbow 44">
                  <a:extLst>
                    <a:ext uri="{FF2B5EF4-FFF2-40B4-BE49-F238E27FC236}">
                      <a16:creationId xmlns:a16="http://schemas.microsoft.com/office/drawing/2014/main" id="{915B269A-5078-40CF-9DC4-8F6AB11439E7}"/>
                    </a:ext>
                  </a:extLst>
                </xdr:cNvPr>
                <xdr:cNvCxnSpPr>
                  <a:stCxn id="43" idx="1"/>
                </xdr:cNvCxnSpPr>
              </xdr:nvCxnSpPr>
              <xdr:spPr>
                <a:xfrm rot="5400000" flipH="1" flipV="1">
                  <a:off x="4505325" y="1933575"/>
                  <a:ext cx="152400" cy="781050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6" name="Connector: Elbow 45">
                  <a:extLst>
                    <a:ext uri="{FF2B5EF4-FFF2-40B4-BE49-F238E27FC236}">
                      <a16:creationId xmlns:a16="http://schemas.microsoft.com/office/drawing/2014/main" id="{83D0878F-2530-4E94-B5E1-6EFF9F8516D0}"/>
                    </a:ext>
                  </a:extLst>
                </xdr:cNvPr>
                <xdr:cNvCxnSpPr>
                  <a:stCxn id="43" idx="3"/>
                </xdr:cNvCxnSpPr>
              </xdr:nvCxnSpPr>
              <xdr:spPr>
                <a:xfrm rot="16200000" flipH="1">
                  <a:off x="4481513" y="3138487"/>
                  <a:ext cx="180975" cy="762000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7" name="Straight Connector 46">
                  <a:extLst>
                    <a:ext uri="{FF2B5EF4-FFF2-40B4-BE49-F238E27FC236}">
                      <a16:creationId xmlns:a16="http://schemas.microsoft.com/office/drawing/2014/main" id="{8A8A8656-7AC3-45C5-96CD-FCC858C34E79}"/>
                    </a:ext>
                  </a:extLst>
                </xdr:cNvPr>
                <xdr:cNvCxnSpPr/>
              </xdr:nvCxnSpPr>
              <xdr:spPr>
                <a:xfrm flipH="1">
                  <a:off x="3162301" y="2581275"/>
                  <a:ext cx="190499" cy="314325"/>
                </a:xfrm>
                <a:prstGeom prst="line">
                  <a:avLst/>
                </a:prstGeom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8" name="Straight Connector 47">
                  <a:extLst>
                    <a:ext uri="{FF2B5EF4-FFF2-40B4-BE49-F238E27FC236}">
                      <a16:creationId xmlns:a16="http://schemas.microsoft.com/office/drawing/2014/main" id="{F45B9B73-4E23-41BE-AAAA-94A9A6B8C0E0}"/>
                    </a:ext>
                  </a:extLst>
                </xdr:cNvPr>
                <xdr:cNvCxnSpPr/>
              </xdr:nvCxnSpPr>
              <xdr:spPr>
                <a:xfrm>
                  <a:off x="3152775" y="2895600"/>
                  <a:ext cx="257175" cy="0"/>
                </a:xfrm>
                <a:prstGeom prst="line">
                  <a:avLst/>
                </a:prstGeom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9" name="Straight Connector 48">
                  <a:extLst>
                    <a:ext uri="{FF2B5EF4-FFF2-40B4-BE49-F238E27FC236}">
                      <a16:creationId xmlns:a16="http://schemas.microsoft.com/office/drawing/2014/main" id="{2C877E51-A4A2-4A72-A0B5-907106F75D3C}"/>
                    </a:ext>
                  </a:extLst>
                </xdr:cNvPr>
                <xdr:cNvCxnSpPr/>
              </xdr:nvCxnSpPr>
              <xdr:spPr>
                <a:xfrm flipH="1">
                  <a:off x="3105150" y="2895600"/>
                  <a:ext cx="295275" cy="304800"/>
                </a:xfrm>
                <a:prstGeom prst="line">
                  <a:avLst/>
                </a:prstGeom>
                <a:ln>
                  <a:headEnd type="none"/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27" name="Group 26">
                <a:extLst>
                  <a:ext uri="{FF2B5EF4-FFF2-40B4-BE49-F238E27FC236}">
                    <a16:creationId xmlns:a16="http://schemas.microsoft.com/office/drawing/2014/main" id="{279507FC-2739-4456-8E8F-0304D7B98678}"/>
                  </a:ext>
                </a:extLst>
              </xdr:cNvPr>
              <xdr:cNvGrpSpPr/>
            </xdr:nvGrpSpPr>
            <xdr:grpSpPr>
              <a:xfrm>
                <a:off x="3181350" y="5429250"/>
                <a:ext cx="2209799" cy="866774"/>
                <a:chOff x="1076325" y="2247900"/>
                <a:chExt cx="3895725" cy="1613013"/>
              </a:xfrm>
            </xdr:grpSpPr>
            <xdr:sp macro="" textlink="">
              <xdr:nvSpPr>
                <xdr:cNvPr id="28" name="Flowchart: Manual Operation 27">
                  <a:extLst>
                    <a:ext uri="{FF2B5EF4-FFF2-40B4-BE49-F238E27FC236}">
                      <a16:creationId xmlns:a16="http://schemas.microsoft.com/office/drawing/2014/main" id="{5832C409-4445-4227-8B2E-CD3B5F863717}"/>
                    </a:ext>
                  </a:extLst>
                </xdr:cNvPr>
                <xdr:cNvSpPr/>
              </xdr:nvSpPr>
              <xdr:spPr>
                <a:xfrm rot="16200000">
                  <a:off x="1774771" y="3283006"/>
                  <a:ext cx="674801" cy="481014"/>
                </a:xfrm>
                <a:prstGeom prst="flowChartManualOperation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cxnSp macro="">
              <xdr:nvCxnSpPr>
                <xdr:cNvPr id="29" name="Connector: Elbow 28">
                  <a:extLst>
                    <a:ext uri="{FF2B5EF4-FFF2-40B4-BE49-F238E27FC236}">
                      <a16:creationId xmlns:a16="http://schemas.microsoft.com/office/drawing/2014/main" id="{5705661D-47B2-4145-AEE5-2E628B4D2A34}"/>
                    </a:ext>
                  </a:extLst>
                </xdr:cNvPr>
                <xdr:cNvCxnSpPr/>
              </xdr:nvCxnSpPr>
              <xdr:spPr>
                <a:xfrm>
                  <a:off x="1076325" y="2743200"/>
                  <a:ext cx="935834" cy="507207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0" name="Connector: Elbow 29">
                  <a:extLst>
                    <a:ext uri="{FF2B5EF4-FFF2-40B4-BE49-F238E27FC236}">
                      <a16:creationId xmlns:a16="http://schemas.microsoft.com/office/drawing/2014/main" id="{7C732083-CAD9-441F-A825-DBA9FBAB4D56}"/>
                    </a:ext>
                  </a:extLst>
                </xdr:cNvPr>
                <xdr:cNvCxnSpPr/>
              </xdr:nvCxnSpPr>
              <xdr:spPr>
                <a:xfrm rot="5400000" flipH="1" flipV="1">
                  <a:off x="2448716" y="2692406"/>
                  <a:ext cx="386568" cy="812006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31" name="Oval 30">
                  <a:extLst>
                    <a:ext uri="{FF2B5EF4-FFF2-40B4-BE49-F238E27FC236}">
                      <a16:creationId xmlns:a16="http://schemas.microsoft.com/office/drawing/2014/main" id="{F30FF66A-FFA3-46B4-A607-837CADACBF51}"/>
                    </a:ext>
                  </a:extLst>
                </xdr:cNvPr>
                <xdr:cNvSpPr/>
              </xdr:nvSpPr>
              <xdr:spPr>
                <a:xfrm>
                  <a:off x="3038475" y="2676525"/>
                  <a:ext cx="485775" cy="476250"/>
                </a:xfrm>
                <a:prstGeom prst="ellipse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sp macro="" textlink="">
              <xdr:nvSpPr>
                <xdr:cNvPr id="32" name="Cylinder 31">
                  <a:extLst>
                    <a:ext uri="{FF2B5EF4-FFF2-40B4-BE49-F238E27FC236}">
                      <a16:creationId xmlns:a16="http://schemas.microsoft.com/office/drawing/2014/main" id="{E5E08260-66B7-4FFD-BA6E-BD6CCA7D26DD}"/>
                    </a:ext>
                  </a:extLst>
                </xdr:cNvPr>
                <xdr:cNvSpPr/>
              </xdr:nvSpPr>
              <xdr:spPr>
                <a:xfrm>
                  <a:off x="3924300" y="2400300"/>
                  <a:ext cx="533400" cy="1028700"/>
                </a:xfrm>
                <a:prstGeom prst="can">
                  <a:avLst/>
                </a:prstGeom>
                <a:ln w="38100"/>
              </xdr:spPr>
              <xdr:style>
                <a:lnRef idx="2">
                  <a:schemeClr val="accent4"/>
                </a:lnRef>
                <a:fillRef idx="1">
                  <a:schemeClr val="lt1"/>
                </a:fillRef>
                <a:effectRef idx="0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D" sz="1100"/>
                </a:p>
              </xdr:txBody>
            </xdr:sp>
            <xdr:cxnSp macro="">
              <xdr:nvCxnSpPr>
                <xdr:cNvPr id="33" name="Straight Arrow Connector 32">
                  <a:extLst>
                    <a:ext uri="{FF2B5EF4-FFF2-40B4-BE49-F238E27FC236}">
                      <a16:creationId xmlns:a16="http://schemas.microsoft.com/office/drawing/2014/main" id="{F3E44AEA-9BA3-4004-AD46-2312963D7E19}"/>
                    </a:ext>
                  </a:extLst>
                </xdr:cNvPr>
                <xdr:cNvCxnSpPr>
                  <a:stCxn id="31" idx="6"/>
                  <a:endCxn id="32" idx="2"/>
                </xdr:cNvCxnSpPr>
              </xdr:nvCxnSpPr>
              <xdr:spPr>
                <a:xfrm>
                  <a:off x="3524250" y="2914650"/>
                  <a:ext cx="400050" cy="0"/>
                </a:xfrm>
                <a:prstGeom prst="straightConnector1">
                  <a:avLst/>
                </a:prstGeom>
                <a:ln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4" name="Connector: Elbow 33">
                  <a:extLst>
                    <a:ext uri="{FF2B5EF4-FFF2-40B4-BE49-F238E27FC236}">
                      <a16:creationId xmlns:a16="http://schemas.microsoft.com/office/drawing/2014/main" id="{DFC7746F-2A1F-4DD0-A062-1676984B5E41}"/>
                    </a:ext>
                  </a:extLst>
                </xdr:cNvPr>
                <xdr:cNvCxnSpPr>
                  <a:stCxn id="32" idx="1"/>
                </xdr:cNvCxnSpPr>
              </xdr:nvCxnSpPr>
              <xdr:spPr>
                <a:xfrm rot="5400000" flipH="1" flipV="1">
                  <a:off x="4505325" y="1933575"/>
                  <a:ext cx="152400" cy="781050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5" name="Connector: Elbow 34">
                  <a:extLst>
                    <a:ext uri="{FF2B5EF4-FFF2-40B4-BE49-F238E27FC236}">
                      <a16:creationId xmlns:a16="http://schemas.microsoft.com/office/drawing/2014/main" id="{DC387EBF-0163-46DB-B041-5FC216AD1CCD}"/>
                    </a:ext>
                  </a:extLst>
                </xdr:cNvPr>
                <xdr:cNvCxnSpPr>
                  <a:stCxn id="32" idx="3"/>
                </xdr:cNvCxnSpPr>
              </xdr:nvCxnSpPr>
              <xdr:spPr>
                <a:xfrm rot="16200000" flipH="1">
                  <a:off x="4481513" y="3138487"/>
                  <a:ext cx="180975" cy="762000"/>
                </a:xfrm>
                <a:prstGeom prst="bentConnector2">
                  <a:avLst/>
                </a:prstGeom>
                <a:ln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6" name="Straight Connector 35">
                  <a:extLst>
                    <a:ext uri="{FF2B5EF4-FFF2-40B4-BE49-F238E27FC236}">
                      <a16:creationId xmlns:a16="http://schemas.microsoft.com/office/drawing/2014/main" id="{F045FAE3-84FF-4928-BD1B-D6296F7876AD}"/>
                    </a:ext>
                  </a:extLst>
                </xdr:cNvPr>
                <xdr:cNvCxnSpPr/>
              </xdr:nvCxnSpPr>
              <xdr:spPr>
                <a:xfrm flipH="1">
                  <a:off x="3162301" y="2581275"/>
                  <a:ext cx="190499" cy="314325"/>
                </a:xfrm>
                <a:prstGeom prst="line">
                  <a:avLst/>
                </a:prstGeom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7" name="Straight Connector 36">
                  <a:extLst>
                    <a:ext uri="{FF2B5EF4-FFF2-40B4-BE49-F238E27FC236}">
                      <a16:creationId xmlns:a16="http://schemas.microsoft.com/office/drawing/2014/main" id="{59F3E8C5-7E07-436A-B233-0B0B6388CE38}"/>
                    </a:ext>
                  </a:extLst>
                </xdr:cNvPr>
                <xdr:cNvCxnSpPr/>
              </xdr:nvCxnSpPr>
              <xdr:spPr>
                <a:xfrm>
                  <a:off x="3152775" y="2895600"/>
                  <a:ext cx="257175" cy="0"/>
                </a:xfrm>
                <a:prstGeom prst="line">
                  <a:avLst/>
                </a:prstGeom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38" name="Straight Connector 37">
                  <a:extLst>
                    <a:ext uri="{FF2B5EF4-FFF2-40B4-BE49-F238E27FC236}">
                      <a16:creationId xmlns:a16="http://schemas.microsoft.com/office/drawing/2014/main" id="{5E3340A1-FE8E-4B93-A339-2B85AEE4F672}"/>
                    </a:ext>
                  </a:extLst>
                </xdr:cNvPr>
                <xdr:cNvCxnSpPr/>
              </xdr:nvCxnSpPr>
              <xdr:spPr>
                <a:xfrm flipH="1">
                  <a:off x="3105150" y="2895600"/>
                  <a:ext cx="295275" cy="304800"/>
                </a:xfrm>
                <a:prstGeom prst="line">
                  <a:avLst/>
                </a:prstGeom>
                <a:ln>
                  <a:headEnd type="none"/>
                  <a:tailEnd type="triangle"/>
                </a:ln>
              </xdr:spPr>
              <xdr:style>
                <a:lnRef idx="3">
                  <a:schemeClr val="dk1"/>
                </a:lnRef>
                <a:fillRef idx="0">
                  <a:schemeClr val="dk1"/>
                </a:fillRef>
                <a:effectRef idx="2">
                  <a:schemeClr val="dk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52B28DEF-58BD-495D-8099-6A78941252D3}"/>
                </a:ext>
              </a:extLst>
            </xdr:cNvPr>
            <xdr:cNvGrpSpPr/>
          </xdr:nvGrpSpPr>
          <xdr:grpSpPr>
            <a:xfrm>
              <a:off x="5353050" y="7858125"/>
              <a:ext cx="2209799" cy="866774"/>
              <a:chOff x="1076325" y="2247900"/>
              <a:chExt cx="3895725" cy="1613013"/>
            </a:xfrm>
          </xdr:grpSpPr>
          <xdr:sp macro="" textlink="">
            <xdr:nvSpPr>
              <xdr:cNvPr id="15" name="Flowchart: Manual Operation 14">
                <a:extLst>
                  <a:ext uri="{FF2B5EF4-FFF2-40B4-BE49-F238E27FC236}">
                    <a16:creationId xmlns:a16="http://schemas.microsoft.com/office/drawing/2014/main" id="{3D978817-894B-4CD4-91FC-E02E24E3B5C4}"/>
                  </a:ext>
                </a:extLst>
              </xdr:cNvPr>
              <xdr:cNvSpPr/>
            </xdr:nvSpPr>
            <xdr:spPr>
              <a:xfrm rot="16200000">
                <a:off x="1774771" y="3283006"/>
                <a:ext cx="674801" cy="481014"/>
              </a:xfrm>
              <a:prstGeom prst="flowChartManualOperatio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16" name="Connector: Elbow 15">
                <a:extLst>
                  <a:ext uri="{FF2B5EF4-FFF2-40B4-BE49-F238E27FC236}">
                    <a16:creationId xmlns:a16="http://schemas.microsoft.com/office/drawing/2014/main" id="{7C95D82B-527C-4BB9-9748-2C8840FEB13A}"/>
                  </a:ext>
                </a:extLst>
              </xdr:cNvPr>
              <xdr:cNvCxnSpPr/>
            </xdr:nvCxnSpPr>
            <xdr:spPr>
              <a:xfrm>
                <a:off x="1076325" y="2743200"/>
                <a:ext cx="935834" cy="507207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Connector: Elbow 16">
                <a:extLst>
                  <a:ext uri="{FF2B5EF4-FFF2-40B4-BE49-F238E27FC236}">
                    <a16:creationId xmlns:a16="http://schemas.microsoft.com/office/drawing/2014/main" id="{0E583C65-C808-49C3-BBA0-6EC3208F4D7D}"/>
                  </a:ext>
                </a:extLst>
              </xdr:cNvPr>
              <xdr:cNvCxnSpPr/>
            </xdr:nvCxnSpPr>
            <xdr:spPr>
              <a:xfrm rot="5400000" flipH="1" flipV="1">
                <a:off x="2448716" y="2692406"/>
                <a:ext cx="386568" cy="812006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8" name="Oval 17">
                <a:extLst>
                  <a:ext uri="{FF2B5EF4-FFF2-40B4-BE49-F238E27FC236}">
                    <a16:creationId xmlns:a16="http://schemas.microsoft.com/office/drawing/2014/main" id="{34CD644F-214E-48CD-98AF-4C5E42C9032A}"/>
                  </a:ext>
                </a:extLst>
              </xdr:cNvPr>
              <xdr:cNvSpPr/>
            </xdr:nvSpPr>
            <xdr:spPr>
              <a:xfrm>
                <a:off x="3038475" y="2676525"/>
                <a:ext cx="485775" cy="476250"/>
              </a:xfrm>
              <a:prstGeom prst="ellipse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sp macro="" textlink="">
            <xdr:nvSpPr>
              <xdr:cNvPr id="19" name="Cylinder 18">
                <a:extLst>
                  <a:ext uri="{FF2B5EF4-FFF2-40B4-BE49-F238E27FC236}">
                    <a16:creationId xmlns:a16="http://schemas.microsoft.com/office/drawing/2014/main" id="{F2F11DEC-CEFA-495A-B176-3141727EC877}"/>
                  </a:ext>
                </a:extLst>
              </xdr:cNvPr>
              <xdr:cNvSpPr/>
            </xdr:nvSpPr>
            <xdr:spPr>
              <a:xfrm>
                <a:off x="3924300" y="2400300"/>
                <a:ext cx="533400" cy="1028700"/>
              </a:xfrm>
              <a:prstGeom prst="can">
                <a:avLst/>
              </a:prstGeom>
              <a:ln w="38100"/>
            </xdr:spPr>
            <xdr:style>
              <a:lnRef idx="2">
                <a:schemeClr val="accent4"/>
              </a:lnRef>
              <a:fillRef idx="1">
                <a:schemeClr val="lt1"/>
              </a:fillRef>
              <a:effectRef idx="0">
                <a:schemeClr val="accent4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D" sz="1100"/>
              </a:p>
            </xdr:txBody>
          </xdr:sp>
          <xdr:cxnSp macro="">
            <xdr:nvCxnSpPr>
              <xdr:cNvPr id="20" name="Straight Arrow Connector 19">
                <a:extLst>
                  <a:ext uri="{FF2B5EF4-FFF2-40B4-BE49-F238E27FC236}">
                    <a16:creationId xmlns:a16="http://schemas.microsoft.com/office/drawing/2014/main" id="{184E86D2-51DC-4854-869B-CABF8E247072}"/>
                  </a:ext>
                </a:extLst>
              </xdr:cNvPr>
              <xdr:cNvCxnSpPr>
                <a:stCxn id="18" idx="6"/>
                <a:endCxn id="19" idx="2"/>
              </xdr:cNvCxnSpPr>
            </xdr:nvCxnSpPr>
            <xdr:spPr>
              <a:xfrm>
                <a:off x="3524250" y="2914650"/>
                <a:ext cx="400050" cy="0"/>
              </a:xfrm>
              <a:prstGeom prst="straightConnector1">
                <a:avLst/>
              </a:prstGeom>
              <a:ln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Connector: Elbow 20">
                <a:extLst>
                  <a:ext uri="{FF2B5EF4-FFF2-40B4-BE49-F238E27FC236}">
                    <a16:creationId xmlns:a16="http://schemas.microsoft.com/office/drawing/2014/main" id="{0C0BCEE8-42CE-4500-AE80-4D9DE07FA969}"/>
                  </a:ext>
                </a:extLst>
              </xdr:cNvPr>
              <xdr:cNvCxnSpPr>
                <a:stCxn id="19" idx="1"/>
              </xdr:cNvCxnSpPr>
            </xdr:nvCxnSpPr>
            <xdr:spPr>
              <a:xfrm rot="5400000" flipH="1" flipV="1">
                <a:off x="4505325" y="1933575"/>
                <a:ext cx="152400" cy="78105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Connector: Elbow 21">
                <a:extLst>
                  <a:ext uri="{FF2B5EF4-FFF2-40B4-BE49-F238E27FC236}">
                    <a16:creationId xmlns:a16="http://schemas.microsoft.com/office/drawing/2014/main" id="{81C871D2-82D4-48AE-80C4-29D6364CE6DC}"/>
                  </a:ext>
                </a:extLst>
              </xdr:cNvPr>
              <xdr:cNvCxnSpPr>
                <a:stCxn id="19" idx="3"/>
              </xdr:cNvCxnSpPr>
            </xdr:nvCxnSpPr>
            <xdr:spPr>
              <a:xfrm rot="16200000" flipH="1">
                <a:off x="4481513" y="3138487"/>
                <a:ext cx="180975" cy="762000"/>
              </a:xfrm>
              <a:prstGeom prst="bentConnector2">
                <a:avLst/>
              </a:prstGeom>
              <a:ln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3" name="Straight Connector 22">
                <a:extLst>
                  <a:ext uri="{FF2B5EF4-FFF2-40B4-BE49-F238E27FC236}">
                    <a16:creationId xmlns:a16="http://schemas.microsoft.com/office/drawing/2014/main" id="{EE850012-A909-477B-8A6F-CF6CDFFEC528}"/>
                  </a:ext>
                </a:extLst>
              </xdr:cNvPr>
              <xdr:cNvCxnSpPr/>
            </xdr:nvCxnSpPr>
            <xdr:spPr>
              <a:xfrm flipH="1">
                <a:off x="3162301" y="2581275"/>
                <a:ext cx="190499" cy="314325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4" name="Straight Connector 23">
                <a:extLst>
                  <a:ext uri="{FF2B5EF4-FFF2-40B4-BE49-F238E27FC236}">
                    <a16:creationId xmlns:a16="http://schemas.microsoft.com/office/drawing/2014/main" id="{9CE0AE89-31DD-4011-8F39-9C4E1D8075FF}"/>
                  </a:ext>
                </a:extLst>
              </xdr:cNvPr>
              <xdr:cNvCxnSpPr/>
            </xdr:nvCxnSpPr>
            <xdr:spPr>
              <a:xfrm>
                <a:off x="3152775" y="2895600"/>
                <a:ext cx="257175" cy="0"/>
              </a:xfrm>
              <a:prstGeom prst="line">
                <a:avLst/>
              </a:prstGeom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5" name="Straight Connector 24">
                <a:extLst>
                  <a:ext uri="{FF2B5EF4-FFF2-40B4-BE49-F238E27FC236}">
                    <a16:creationId xmlns:a16="http://schemas.microsoft.com/office/drawing/2014/main" id="{E15AD2F5-0514-4F16-8E1B-DB2073761DEF}"/>
                  </a:ext>
                </a:extLst>
              </xdr:cNvPr>
              <xdr:cNvCxnSpPr/>
            </xdr:nvCxnSpPr>
            <xdr:spPr>
              <a:xfrm flipH="1">
                <a:off x="3105150" y="2895600"/>
                <a:ext cx="295275" cy="304800"/>
              </a:xfrm>
              <a:prstGeom prst="line">
                <a:avLst/>
              </a:prstGeom>
              <a:ln>
                <a:headEnd type="none"/>
                <a:tailEnd type="triangle"/>
              </a:ln>
            </xdr:spPr>
            <xdr:style>
              <a:lnRef idx="3">
                <a:schemeClr val="dk1"/>
              </a:lnRef>
              <a:fillRef idx="0">
                <a:schemeClr val="dk1"/>
              </a:fillRef>
              <a:effectRef idx="2">
                <a:schemeClr val="dk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0" name="Group 49">
            <a:extLst>
              <a:ext uri="{FF2B5EF4-FFF2-40B4-BE49-F238E27FC236}">
                <a16:creationId xmlns:a16="http://schemas.microsoft.com/office/drawing/2014/main" id="{E91DBA06-C005-4F08-8BCB-97A3D794AD8D}"/>
              </a:ext>
            </a:extLst>
          </xdr:cNvPr>
          <xdr:cNvGrpSpPr/>
        </xdr:nvGrpSpPr>
        <xdr:grpSpPr>
          <a:xfrm>
            <a:off x="10090897" y="23162559"/>
            <a:ext cx="2209799" cy="866774"/>
            <a:chOff x="1076325" y="2247900"/>
            <a:chExt cx="3895725" cy="1613013"/>
          </a:xfrm>
        </xdr:grpSpPr>
        <xdr:sp macro="" textlink="">
          <xdr:nvSpPr>
            <xdr:cNvPr id="51" name="Flowchart: Manual Operation 50">
              <a:extLst>
                <a:ext uri="{FF2B5EF4-FFF2-40B4-BE49-F238E27FC236}">
                  <a16:creationId xmlns:a16="http://schemas.microsoft.com/office/drawing/2014/main" id="{76598336-1DD6-41D9-9B47-9B3DE9D016EA}"/>
                </a:ext>
              </a:extLst>
            </xdr:cNvPr>
            <xdr:cNvSpPr/>
          </xdr:nvSpPr>
          <xdr:spPr>
            <a:xfrm rot="16200000">
              <a:off x="1774771" y="3283006"/>
              <a:ext cx="674801" cy="481014"/>
            </a:xfrm>
            <a:prstGeom prst="flowChartManualOperation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cxnSp macro="">
          <xdr:nvCxnSpPr>
            <xdr:cNvPr id="52" name="Connector: Elbow 51">
              <a:extLst>
                <a:ext uri="{FF2B5EF4-FFF2-40B4-BE49-F238E27FC236}">
                  <a16:creationId xmlns:a16="http://schemas.microsoft.com/office/drawing/2014/main" id="{94A12126-FA7E-47A8-A49B-D2F8F0A14CF2}"/>
                </a:ext>
              </a:extLst>
            </xdr:cNvPr>
            <xdr:cNvCxnSpPr/>
          </xdr:nvCxnSpPr>
          <xdr:spPr>
            <a:xfrm>
              <a:off x="1076325" y="2743200"/>
              <a:ext cx="935834" cy="507207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3" name="Connector: Elbow 52">
              <a:extLst>
                <a:ext uri="{FF2B5EF4-FFF2-40B4-BE49-F238E27FC236}">
                  <a16:creationId xmlns:a16="http://schemas.microsoft.com/office/drawing/2014/main" id="{FFBB8006-86DD-483E-BCFC-C2FA3AD5941D}"/>
                </a:ext>
              </a:extLst>
            </xdr:cNvPr>
            <xdr:cNvCxnSpPr/>
          </xdr:nvCxnSpPr>
          <xdr:spPr>
            <a:xfrm rot="5400000" flipH="1" flipV="1">
              <a:off x="2448716" y="2692406"/>
              <a:ext cx="386568" cy="812006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4" name="Oval 53">
              <a:extLst>
                <a:ext uri="{FF2B5EF4-FFF2-40B4-BE49-F238E27FC236}">
                  <a16:creationId xmlns:a16="http://schemas.microsoft.com/office/drawing/2014/main" id="{57FF04FD-CC6B-4E61-9B55-CB79E56FF036}"/>
                </a:ext>
              </a:extLst>
            </xdr:cNvPr>
            <xdr:cNvSpPr/>
          </xdr:nvSpPr>
          <xdr:spPr>
            <a:xfrm>
              <a:off x="3038475" y="2676525"/>
              <a:ext cx="485775" cy="476250"/>
            </a:xfrm>
            <a:prstGeom prst="ellipse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sp macro="" textlink="">
          <xdr:nvSpPr>
            <xdr:cNvPr id="55" name="Cylinder 54">
              <a:extLst>
                <a:ext uri="{FF2B5EF4-FFF2-40B4-BE49-F238E27FC236}">
                  <a16:creationId xmlns:a16="http://schemas.microsoft.com/office/drawing/2014/main" id="{85823EA2-DA80-4705-BA6B-48DAEB7FB0C8}"/>
                </a:ext>
              </a:extLst>
            </xdr:cNvPr>
            <xdr:cNvSpPr/>
          </xdr:nvSpPr>
          <xdr:spPr>
            <a:xfrm>
              <a:off x="3924300" y="2400300"/>
              <a:ext cx="533400" cy="1028700"/>
            </a:xfrm>
            <a:prstGeom prst="can">
              <a:avLst/>
            </a:prstGeom>
            <a:ln w="38100"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ID" sz="1100"/>
            </a:p>
          </xdr:txBody>
        </xdr:sp>
        <xdr:cxnSp macro="">
          <xdr:nvCxnSpPr>
            <xdr:cNvPr id="56" name="Straight Arrow Connector 55">
              <a:extLst>
                <a:ext uri="{FF2B5EF4-FFF2-40B4-BE49-F238E27FC236}">
                  <a16:creationId xmlns:a16="http://schemas.microsoft.com/office/drawing/2014/main" id="{0BC61559-0192-4F68-A876-8BE7FE897797}"/>
                </a:ext>
              </a:extLst>
            </xdr:cNvPr>
            <xdr:cNvCxnSpPr>
              <a:stCxn id="54" idx="6"/>
              <a:endCxn id="55" idx="2"/>
            </xdr:cNvCxnSpPr>
          </xdr:nvCxnSpPr>
          <xdr:spPr>
            <a:xfrm>
              <a:off x="3524250" y="2914650"/>
              <a:ext cx="400050" cy="0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nector: Elbow 56">
              <a:extLst>
                <a:ext uri="{FF2B5EF4-FFF2-40B4-BE49-F238E27FC236}">
                  <a16:creationId xmlns:a16="http://schemas.microsoft.com/office/drawing/2014/main" id="{44FCDC79-F292-4B5B-B6C4-689006714F43}"/>
                </a:ext>
              </a:extLst>
            </xdr:cNvPr>
            <xdr:cNvCxnSpPr>
              <a:stCxn id="55" idx="1"/>
            </xdr:cNvCxnSpPr>
          </xdr:nvCxnSpPr>
          <xdr:spPr>
            <a:xfrm rot="5400000" flipH="1" flipV="1">
              <a:off x="4505325" y="1933575"/>
              <a:ext cx="152400" cy="781050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8" name="Connector: Elbow 57">
              <a:extLst>
                <a:ext uri="{FF2B5EF4-FFF2-40B4-BE49-F238E27FC236}">
                  <a16:creationId xmlns:a16="http://schemas.microsoft.com/office/drawing/2014/main" id="{F661E0D4-A9A1-44DC-B3C2-2DDD17F76EBB}"/>
                </a:ext>
              </a:extLst>
            </xdr:cNvPr>
            <xdr:cNvCxnSpPr>
              <a:stCxn id="55" idx="3"/>
            </xdr:cNvCxnSpPr>
          </xdr:nvCxnSpPr>
          <xdr:spPr>
            <a:xfrm rot="16200000" flipH="1">
              <a:off x="4481513" y="3138487"/>
              <a:ext cx="180975" cy="762000"/>
            </a:xfrm>
            <a:prstGeom prst="bentConnector2">
              <a:avLst/>
            </a:prstGeom>
            <a:ln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>
              <a:extLst>
                <a:ext uri="{FF2B5EF4-FFF2-40B4-BE49-F238E27FC236}">
                  <a16:creationId xmlns:a16="http://schemas.microsoft.com/office/drawing/2014/main" id="{1B0C58B3-2373-40DC-8096-8C4B84F0C487}"/>
                </a:ext>
              </a:extLst>
            </xdr:cNvPr>
            <xdr:cNvCxnSpPr/>
          </xdr:nvCxnSpPr>
          <xdr:spPr>
            <a:xfrm flipH="1">
              <a:off x="3162301" y="2581275"/>
              <a:ext cx="190499" cy="314325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:a16="http://schemas.microsoft.com/office/drawing/2014/main" id="{C8120ABB-42B9-4C9A-A63E-DCAA8A21ABD7}"/>
                </a:ext>
              </a:extLst>
            </xdr:cNvPr>
            <xdr:cNvCxnSpPr/>
          </xdr:nvCxnSpPr>
          <xdr:spPr>
            <a:xfrm>
              <a:off x="3152775" y="2895600"/>
              <a:ext cx="257175" cy="0"/>
            </a:xfrm>
            <a:prstGeom prst="line">
              <a:avLst/>
            </a:prstGeom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id="{2BDF832E-95FF-4491-AD1B-769004502854}"/>
                </a:ext>
              </a:extLst>
            </xdr:cNvPr>
            <xdr:cNvCxnSpPr/>
          </xdr:nvCxnSpPr>
          <xdr:spPr>
            <a:xfrm flipH="1">
              <a:off x="3105150" y="2895600"/>
              <a:ext cx="295275" cy="304800"/>
            </a:xfrm>
            <a:prstGeom prst="line">
              <a:avLst/>
            </a:prstGeom>
            <a:ln>
              <a:headEnd type="none"/>
              <a:tailEnd type="triangle"/>
            </a:ln>
          </xdr:spPr>
          <xdr:style>
            <a:lnRef idx="3">
              <a:schemeClr val="dk1"/>
            </a:lnRef>
            <a:fillRef idx="0">
              <a:schemeClr val="dk1"/>
            </a:fillRef>
            <a:effectRef idx="2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oneCellAnchor>
    <xdr:from>
      <xdr:col>1</xdr:col>
      <xdr:colOff>996763</xdr:colOff>
      <xdr:row>141</xdr:row>
      <xdr:rowOff>58831</xdr:rowOff>
    </xdr:from>
    <xdr:ext cx="988989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BBA04CAD-0108-4120-9CFA-5DCE4D641DC6}"/>
            </a:ext>
          </a:extLst>
        </xdr:cNvPr>
        <xdr:cNvSpPr txBox="1"/>
      </xdr:nvSpPr>
      <xdr:spPr>
        <a:xfrm>
          <a:off x="1601881" y="25339302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Compressor-1</a:t>
          </a:r>
        </a:p>
      </xdr:txBody>
    </xdr:sp>
    <xdr:clientData/>
  </xdr:oneCellAnchor>
  <xdr:oneCellAnchor>
    <xdr:from>
      <xdr:col>1</xdr:col>
      <xdr:colOff>2063563</xdr:colOff>
      <xdr:row>138</xdr:row>
      <xdr:rowOff>53789</xdr:rowOff>
    </xdr:from>
    <xdr:ext cx="799450" cy="43678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F49930CF-E019-4B5C-A018-73E1E591D7B1}"/>
            </a:ext>
          </a:extLst>
        </xdr:cNvPr>
        <xdr:cNvSpPr txBox="1"/>
      </xdr:nvSpPr>
      <xdr:spPr>
        <a:xfrm>
          <a:off x="2668681" y="24796377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Cooler-1</a:t>
          </a:r>
        </a:p>
      </xdr:txBody>
    </xdr:sp>
    <xdr:clientData/>
  </xdr:oneCellAnchor>
  <xdr:oneCellAnchor>
    <xdr:from>
      <xdr:col>2</xdr:col>
      <xdr:colOff>686545</xdr:colOff>
      <xdr:row>140</xdr:row>
      <xdr:rowOff>85726</xdr:rowOff>
    </xdr:from>
    <xdr:ext cx="814775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6769A01B-293A-45C9-8585-DF9098C24832}"/>
            </a:ext>
          </a:extLst>
        </xdr:cNvPr>
        <xdr:cNvSpPr txBox="1"/>
      </xdr:nvSpPr>
      <xdr:spPr>
        <a:xfrm>
          <a:off x="3499221" y="25186902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Scrubber-1</a:t>
          </a:r>
        </a:p>
      </xdr:txBody>
    </xdr:sp>
    <xdr:clientData/>
  </xdr:oneCellAnchor>
  <xdr:oneCellAnchor>
    <xdr:from>
      <xdr:col>4</xdr:col>
      <xdr:colOff>79001</xdr:colOff>
      <xdr:row>139</xdr:row>
      <xdr:rowOff>6164</xdr:rowOff>
    </xdr:from>
    <xdr:ext cx="988989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26418F0-ADDD-4561-B683-90B2B7580F78}"/>
            </a:ext>
          </a:extLst>
        </xdr:cNvPr>
        <xdr:cNvSpPr txBox="1"/>
      </xdr:nvSpPr>
      <xdr:spPr>
        <a:xfrm>
          <a:off x="4651001" y="24928046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Compressor-2</a:t>
          </a:r>
        </a:p>
      </xdr:txBody>
    </xdr:sp>
    <xdr:clientData/>
  </xdr:oneCellAnchor>
  <xdr:oneCellAnchor>
    <xdr:from>
      <xdr:col>4</xdr:col>
      <xdr:colOff>1130113</xdr:colOff>
      <xdr:row>136</xdr:row>
      <xdr:rowOff>39221</xdr:rowOff>
    </xdr:from>
    <xdr:ext cx="799450" cy="436786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C17D678-64FF-4A82-AF7F-7A86E6C0ED09}"/>
            </a:ext>
          </a:extLst>
        </xdr:cNvPr>
        <xdr:cNvSpPr txBox="1"/>
      </xdr:nvSpPr>
      <xdr:spPr>
        <a:xfrm>
          <a:off x="5702113" y="24423221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Cooler-2</a:t>
          </a:r>
        </a:p>
      </xdr:txBody>
    </xdr:sp>
    <xdr:clientData/>
  </xdr:oneCellAnchor>
  <xdr:oneCellAnchor>
    <xdr:from>
      <xdr:col>4</xdr:col>
      <xdr:colOff>1881091</xdr:colOff>
      <xdr:row>138</xdr:row>
      <xdr:rowOff>21852</xdr:rowOff>
    </xdr:from>
    <xdr:ext cx="814775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3D918833-78F7-46D6-98A8-347E86713492}"/>
            </a:ext>
          </a:extLst>
        </xdr:cNvPr>
        <xdr:cNvSpPr txBox="1"/>
      </xdr:nvSpPr>
      <xdr:spPr>
        <a:xfrm>
          <a:off x="6453091" y="24764440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Scrubber-2</a:t>
          </a:r>
        </a:p>
      </xdr:txBody>
    </xdr:sp>
    <xdr:clientData/>
  </xdr:oneCellAnchor>
  <xdr:oneCellAnchor>
    <xdr:from>
      <xdr:col>4</xdr:col>
      <xdr:colOff>3017744</xdr:colOff>
      <xdr:row>137</xdr:row>
      <xdr:rowOff>36420</xdr:rowOff>
    </xdr:from>
    <xdr:ext cx="988989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5A10F8A-D274-4FB8-A913-B9AF55490D06}"/>
            </a:ext>
          </a:extLst>
        </xdr:cNvPr>
        <xdr:cNvSpPr txBox="1"/>
      </xdr:nvSpPr>
      <xdr:spPr>
        <a:xfrm>
          <a:off x="7589744" y="24599714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Compressor-3</a:t>
          </a:r>
        </a:p>
      </xdr:txBody>
    </xdr:sp>
    <xdr:clientData/>
  </xdr:oneCellAnchor>
  <xdr:oneCellAnchor>
    <xdr:from>
      <xdr:col>5</xdr:col>
      <xdr:colOff>124385</xdr:colOff>
      <xdr:row>134</xdr:row>
      <xdr:rowOff>47065</xdr:rowOff>
    </xdr:from>
    <xdr:ext cx="799450" cy="436786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CC7D3DC-4250-48ED-8213-417B41F9DBB0}"/>
            </a:ext>
          </a:extLst>
        </xdr:cNvPr>
        <xdr:cNvSpPr txBox="1"/>
      </xdr:nvSpPr>
      <xdr:spPr>
        <a:xfrm>
          <a:off x="8450356" y="24072477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Cooler-3</a:t>
          </a:r>
        </a:p>
      </xdr:txBody>
    </xdr:sp>
    <xdr:clientData/>
  </xdr:oneCellAnchor>
  <xdr:oneCellAnchor>
    <xdr:from>
      <xdr:col>6</xdr:col>
      <xdr:colOff>539187</xdr:colOff>
      <xdr:row>136</xdr:row>
      <xdr:rowOff>18490</xdr:rowOff>
    </xdr:from>
    <xdr:ext cx="814775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C9EC5AA-BEAD-45A0-BD0E-C8D06C957EAF}"/>
            </a:ext>
          </a:extLst>
        </xdr:cNvPr>
        <xdr:cNvSpPr txBox="1"/>
      </xdr:nvSpPr>
      <xdr:spPr>
        <a:xfrm>
          <a:off x="9470275" y="24402490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Scrubber-3</a:t>
          </a:r>
        </a:p>
      </xdr:txBody>
    </xdr:sp>
    <xdr:clientData/>
  </xdr:oneCellAnchor>
  <xdr:oneCellAnchor>
    <xdr:from>
      <xdr:col>1</xdr:col>
      <xdr:colOff>168088</xdr:colOff>
      <xdr:row>134</xdr:row>
      <xdr:rowOff>113740</xdr:rowOff>
    </xdr:from>
    <xdr:ext cx="761170" cy="609013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3E0A3514-4F1C-4154-B743-A74631A11631}"/>
            </a:ext>
          </a:extLst>
        </xdr:cNvPr>
        <xdr:cNvSpPr txBox="1"/>
      </xdr:nvSpPr>
      <xdr:spPr>
        <a:xfrm>
          <a:off x="773206" y="24139152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100</a:t>
          </a:r>
          <a:r>
            <a:rPr lang="en-ID" sz="1100" baseline="0"/>
            <a:t> psia</a:t>
          </a:r>
        </a:p>
        <a:p>
          <a:r>
            <a:rPr lang="en-ID" sz="1100" baseline="0"/>
            <a:t>100</a:t>
          </a:r>
          <a:r>
            <a:rPr lang="en-ID" sz="1100" baseline="30000"/>
            <a:t>o</a:t>
          </a:r>
          <a:r>
            <a:rPr lang="en-ID" sz="1100" baseline="0"/>
            <a:t>F</a:t>
          </a:r>
          <a:endParaRPr lang="en-ID" sz="1100"/>
        </a:p>
      </xdr:txBody>
    </xdr:sp>
    <xdr:clientData/>
  </xdr:oneCellAnchor>
  <xdr:oneCellAnchor>
    <xdr:from>
      <xdr:col>1</xdr:col>
      <xdr:colOff>1625413</xdr:colOff>
      <xdr:row>134</xdr:row>
      <xdr:rowOff>170890</xdr:rowOff>
    </xdr:from>
    <xdr:ext cx="660245" cy="436786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56E19D-3880-45CE-913C-67702905BA78}"/>
            </a:ext>
          </a:extLst>
        </xdr:cNvPr>
        <xdr:cNvSpPr txBox="1"/>
      </xdr:nvSpPr>
      <xdr:spPr>
        <a:xfrm>
          <a:off x="2230531" y="24196302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173 psia</a:t>
          </a:r>
        </a:p>
        <a:p>
          <a:r>
            <a:rPr lang="en-ID" sz="1100" baseline="0"/>
            <a:t>156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2</xdr:col>
      <xdr:colOff>421902</xdr:colOff>
      <xdr:row>135</xdr:row>
      <xdr:rowOff>166407</xdr:rowOff>
    </xdr:from>
    <xdr:ext cx="513602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952DFF67-36E0-4706-8847-442334B171DF}"/>
            </a:ext>
          </a:extLst>
        </xdr:cNvPr>
        <xdr:cNvSpPr txBox="1"/>
      </xdr:nvSpPr>
      <xdr:spPr>
        <a:xfrm>
          <a:off x="3234578" y="24371113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3</xdr:col>
      <xdr:colOff>780490</xdr:colOff>
      <xdr:row>131</xdr:row>
      <xdr:rowOff>61073</xdr:rowOff>
    </xdr:from>
    <xdr:ext cx="761170" cy="609013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2BEEDCE-49F2-4A0F-B468-177F989211E6}"/>
            </a:ext>
          </a:extLst>
        </xdr:cNvPr>
        <xdr:cNvSpPr txBox="1"/>
      </xdr:nvSpPr>
      <xdr:spPr>
        <a:xfrm>
          <a:off x="4287931" y="23548602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168 psia</a:t>
          </a:r>
        </a:p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1</xdr:col>
      <xdr:colOff>1806388</xdr:colOff>
      <xdr:row>132</xdr:row>
      <xdr:rowOff>110378</xdr:rowOff>
    </xdr:from>
    <xdr:ext cx="1383456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BC21CEF-05BA-4268-B5A1-2E3C70032B39}"/>
            </a:ext>
          </a:extLst>
        </xdr:cNvPr>
        <xdr:cNvSpPr txBox="1"/>
      </xdr:nvSpPr>
      <xdr:spPr>
        <a:xfrm>
          <a:off x="2411506" y="23777202"/>
          <a:ext cx="13834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Pressure drop = 5 psi</a:t>
          </a:r>
        </a:p>
      </xdr:txBody>
    </xdr:sp>
    <xdr:clientData/>
  </xdr:oneCellAnchor>
  <xdr:oneCellAnchor>
    <xdr:from>
      <xdr:col>4</xdr:col>
      <xdr:colOff>706531</xdr:colOff>
      <xdr:row>133</xdr:row>
      <xdr:rowOff>20171</xdr:rowOff>
    </xdr:from>
    <xdr:ext cx="628377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CBC896F-7A66-488D-9D5E-1E8D6CEBDDC2}"/>
            </a:ext>
          </a:extLst>
        </xdr:cNvPr>
        <xdr:cNvSpPr txBox="1"/>
      </xdr:nvSpPr>
      <xdr:spPr>
        <a:xfrm>
          <a:off x="5288056" y="24089846"/>
          <a:ext cx="62837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294psia</a:t>
          </a:r>
        </a:p>
        <a:p>
          <a:r>
            <a:rPr lang="en-ID" sz="1100" baseline="0"/>
            <a:t>186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1587314</xdr:colOff>
      <xdr:row>134</xdr:row>
      <xdr:rowOff>1121</xdr:rowOff>
    </xdr:from>
    <xdr:ext cx="513602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2CEDE19A-37D4-4827-9A3F-B11BCF9299F7}"/>
            </a:ext>
          </a:extLst>
        </xdr:cNvPr>
        <xdr:cNvSpPr txBox="1"/>
      </xdr:nvSpPr>
      <xdr:spPr>
        <a:xfrm>
          <a:off x="6159314" y="24026533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2157693</xdr:colOff>
      <xdr:row>129</xdr:row>
      <xdr:rowOff>99172</xdr:rowOff>
    </xdr:from>
    <xdr:ext cx="761170" cy="609013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214DCB4A-65C7-44C2-95E4-88EFDA0DD89F}"/>
            </a:ext>
          </a:extLst>
        </xdr:cNvPr>
        <xdr:cNvSpPr txBox="1"/>
      </xdr:nvSpPr>
      <xdr:spPr>
        <a:xfrm>
          <a:off x="6729693" y="23228113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289 psia</a:t>
          </a:r>
        </a:p>
        <a:p>
          <a:r>
            <a:rPr lang="en-ID" sz="1100" baseline="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4</xdr:col>
      <xdr:colOff>3658160</xdr:colOff>
      <xdr:row>131</xdr:row>
      <xdr:rowOff>59953</xdr:rowOff>
    </xdr:from>
    <xdr:ext cx="660245" cy="436786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A9136AC-60AA-46FF-A8CC-92B04CAF9000}"/>
            </a:ext>
          </a:extLst>
        </xdr:cNvPr>
        <xdr:cNvSpPr txBox="1"/>
      </xdr:nvSpPr>
      <xdr:spPr>
        <a:xfrm>
          <a:off x="8239685" y="23767678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510 psia</a:t>
          </a:r>
        </a:p>
        <a:p>
          <a:r>
            <a:rPr lang="en-ID" sz="1100" baseline="0"/>
            <a:t>180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6</xdr:col>
      <xdr:colOff>228041</xdr:colOff>
      <xdr:row>132</xdr:row>
      <xdr:rowOff>40902</xdr:rowOff>
    </xdr:from>
    <xdr:ext cx="513602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275A535-D5BD-4F25-8AC3-2B69DFCFDEED}"/>
            </a:ext>
          </a:extLst>
        </xdr:cNvPr>
        <xdr:cNvSpPr txBox="1"/>
      </xdr:nvSpPr>
      <xdr:spPr>
        <a:xfrm>
          <a:off x="9159129" y="23707726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7</xdr:col>
      <xdr:colOff>226359</xdr:colOff>
      <xdr:row>128</xdr:row>
      <xdr:rowOff>1</xdr:rowOff>
    </xdr:from>
    <xdr:ext cx="761170" cy="609013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D946253-13BD-4A91-8E81-94E3C919BE3A}"/>
            </a:ext>
          </a:extLst>
        </xdr:cNvPr>
        <xdr:cNvSpPr txBox="1"/>
      </xdr:nvSpPr>
      <xdr:spPr>
        <a:xfrm>
          <a:off x="9762565" y="22949648"/>
          <a:ext cx="76117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505 psia</a:t>
          </a:r>
        </a:p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1</xdr:col>
      <xdr:colOff>1168213</xdr:colOff>
      <xdr:row>143</xdr:row>
      <xdr:rowOff>90768</xdr:rowOff>
    </xdr:from>
    <xdr:ext cx="698909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D334A585-7D03-48A3-AE70-53FD5BBA5E44}"/>
            </a:ext>
          </a:extLst>
        </xdr:cNvPr>
        <xdr:cNvSpPr txBox="1"/>
      </xdr:nvSpPr>
      <xdr:spPr>
        <a:xfrm>
          <a:off x="1773331" y="25729827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94.58</a:t>
          </a:r>
          <a:r>
            <a:rPr lang="en-ID" sz="1100" baseline="0"/>
            <a:t> HP</a:t>
          </a:r>
          <a:endParaRPr lang="en-ID" sz="1100"/>
        </a:p>
      </xdr:txBody>
    </xdr:sp>
    <xdr:clientData/>
  </xdr:oneCellAnchor>
  <xdr:oneCellAnchor>
    <xdr:from>
      <xdr:col>4</xdr:col>
      <xdr:colOff>115981</xdr:colOff>
      <xdr:row>143</xdr:row>
      <xdr:rowOff>100293</xdr:rowOff>
    </xdr:from>
    <xdr:ext cx="698909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46FE036-DEE5-44B0-88F7-5D0DACBD2D82}"/>
            </a:ext>
          </a:extLst>
        </xdr:cNvPr>
        <xdr:cNvSpPr txBox="1"/>
      </xdr:nvSpPr>
      <xdr:spPr>
        <a:xfrm>
          <a:off x="4687981" y="25739352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96.26</a:t>
          </a:r>
          <a:r>
            <a:rPr lang="en-ID" sz="1100" baseline="0"/>
            <a:t> HP</a:t>
          </a:r>
          <a:endParaRPr lang="en-ID" sz="1100"/>
        </a:p>
      </xdr:txBody>
    </xdr:sp>
    <xdr:clientData/>
  </xdr:oneCellAnchor>
  <xdr:oneCellAnchor>
    <xdr:from>
      <xdr:col>4</xdr:col>
      <xdr:colOff>3197038</xdr:colOff>
      <xdr:row>143</xdr:row>
      <xdr:rowOff>74520</xdr:rowOff>
    </xdr:from>
    <xdr:ext cx="698909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140944E-DDC0-45E4-B8E6-45EF373062CD}"/>
            </a:ext>
          </a:extLst>
        </xdr:cNvPr>
        <xdr:cNvSpPr txBox="1"/>
      </xdr:nvSpPr>
      <xdr:spPr>
        <a:xfrm>
          <a:off x="7769038" y="25713579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88.87 </a:t>
          </a:r>
          <a:r>
            <a:rPr lang="en-ID" sz="1100" baseline="0"/>
            <a:t>HP</a:t>
          </a:r>
          <a:endParaRPr lang="en-ID" sz="1100"/>
        </a:p>
      </xdr:txBody>
    </xdr:sp>
    <xdr:clientData/>
  </xdr:oneCellAnchor>
  <xdr:oneCellAnchor>
    <xdr:from>
      <xdr:col>8</xdr:col>
      <xdr:colOff>343459</xdr:colOff>
      <xdr:row>135</xdr:row>
      <xdr:rowOff>57711</xdr:rowOff>
    </xdr:from>
    <xdr:ext cx="988989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24A15DB1-431F-4C42-B17E-4E7BEC44549A}"/>
            </a:ext>
          </a:extLst>
        </xdr:cNvPr>
        <xdr:cNvSpPr txBox="1"/>
      </xdr:nvSpPr>
      <xdr:spPr>
        <a:xfrm>
          <a:off x="10484783" y="24262417"/>
          <a:ext cx="988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Compressor-4</a:t>
          </a:r>
        </a:p>
      </xdr:txBody>
    </xdr:sp>
    <xdr:clientData/>
  </xdr:oneCellAnchor>
  <xdr:oneCellAnchor>
    <xdr:from>
      <xdr:col>9</xdr:col>
      <xdr:colOff>542925</xdr:colOff>
      <xdr:row>132</xdr:row>
      <xdr:rowOff>124386</xdr:rowOff>
    </xdr:from>
    <xdr:ext cx="799450" cy="436786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1BF9DF26-5808-4E21-9EC5-6D535D2F664A}"/>
            </a:ext>
          </a:extLst>
        </xdr:cNvPr>
        <xdr:cNvSpPr txBox="1"/>
      </xdr:nvSpPr>
      <xdr:spPr>
        <a:xfrm>
          <a:off x="11289366" y="23791210"/>
          <a:ext cx="7994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Interstage </a:t>
          </a:r>
        </a:p>
        <a:p>
          <a:pPr algn="ctr"/>
          <a:r>
            <a:rPr lang="en-ID" sz="1100"/>
            <a:t>Cooler-4</a:t>
          </a:r>
        </a:p>
      </xdr:txBody>
    </xdr:sp>
    <xdr:clientData/>
  </xdr:oneCellAnchor>
  <xdr:oneCellAnchor>
    <xdr:from>
      <xdr:col>10</xdr:col>
      <xdr:colOff>599138</xdr:colOff>
      <xdr:row>134</xdr:row>
      <xdr:rowOff>107017</xdr:rowOff>
    </xdr:from>
    <xdr:ext cx="814775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EAB4BCA-D9EE-4088-9B8D-9174180E41C6}"/>
            </a:ext>
          </a:extLst>
        </xdr:cNvPr>
        <xdr:cNvSpPr txBox="1"/>
      </xdr:nvSpPr>
      <xdr:spPr>
        <a:xfrm>
          <a:off x="11950697" y="24132429"/>
          <a:ext cx="814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D" sz="1100"/>
            <a:t>Scrubber-4</a:t>
          </a:r>
        </a:p>
      </xdr:txBody>
    </xdr:sp>
    <xdr:clientData/>
  </xdr:oneCellAnchor>
  <xdr:oneCellAnchor>
    <xdr:from>
      <xdr:col>9</xdr:col>
      <xdr:colOff>216274</xdr:colOff>
      <xdr:row>129</xdr:row>
      <xdr:rowOff>61634</xdr:rowOff>
    </xdr:from>
    <xdr:ext cx="660245" cy="436786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40E886B-4C03-471A-AC14-BCBB060F524B}"/>
            </a:ext>
          </a:extLst>
        </xdr:cNvPr>
        <xdr:cNvSpPr txBox="1"/>
      </xdr:nvSpPr>
      <xdr:spPr>
        <a:xfrm>
          <a:off x="10962715" y="23190575"/>
          <a:ext cx="66024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900 psia</a:t>
          </a:r>
        </a:p>
        <a:p>
          <a:r>
            <a:rPr lang="en-ID" sz="1100" baseline="0"/>
            <a:t>181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10</xdr:col>
      <xdr:colOff>346823</xdr:colOff>
      <xdr:row>130</xdr:row>
      <xdr:rowOff>70038</xdr:rowOff>
    </xdr:from>
    <xdr:ext cx="513602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1DB51A3-C949-43A7-A929-A597EC89FFC4}"/>
            </a:ext>
          </a:extLst>
        </xdr:cNvPr>
        <xdr:cNvSpPr txBox="1"/>
      </xdr:nvSpPr>
      <xdr:spPr>
        <a:xfrm>
          <a:off x="11698382" y="23378273"/>
          <a:ext cx="5136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11</xdr:col>
      <xdr:colOff>164166</xdr:colOff>
      <xdr:row>125</xdr:row>
      <xdr:rowOff>137833</xdr:rowOff>
    </xdr:from>
    <xdr:ext cx="978833" cy="609013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21D7D11B-9A09-4278-B0D7-1FE5AE9945A0}"/>
            </a:ext>
          </a:extLst>
        </xdr:cNvPr>
        <xdr:cNvSpPr txBox="1"/>
      </xdr:nvSpPr>
      <xdr:spPr>
        <a:xfrm>
          <a:off x="12120842" y="22549598"/>
          <a:ext cx="978833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1100"/>
            <a:t>2 MMscfd</a:t>
          </a:r>
        </a:p>
        <a:p>
          <a:r>
            <a:rPr lang="en-ID" sz="1100"/>
            <a:t>900 psia</a:t>
          </a:r>
        </a:p>
        <a:p>
          <a:r>
            <a:rPr lang="en-ID" sz="1100"/>
            <a:t>120</a:t>
          </a:r>
          <a:r>
            <a:rPr lang="en-ID" sz="1100" baseline="30000"/>
            <a:t>o</a:t>
          </a:r>
          <a:r>
            <a:rPr lang="en-ID" sz="1100"/>
            <a:t>F</a:t>
          </a:r>
        </a:p>
      </xdr:txBody>
    </xdr:sp>
    <xdr:clientData/>
  </xdr:oneCellAnchor>
  <xdr:oneCellAnchor>
    <xdr:from>
      <xdr:col>8</xdr:col>
      <xdr:colOff>547967</xdr:colOff>
      <xdr:row>142</xdr:row>
      <xdr:rowOff>170890</xdr:rowOff>
    </xdr:from>
    <xdr:ext cx="698909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F494384-77EB-43D2-B857-18812BFBB831}"/>
            </a:ext>
          </a:extLst>
        </xdr:cNvPr>
        <xdr:cNvSpPr txBox="1"/>
      </xdr:nvSpPr>
      <xdr:spPr>
        <a:xfrm>
          <a:off x="10689291" y="25630655"/>
          <a:ext cx="6989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88.87 </a:t>
          </a:r>
          <a:r>
            <a:rPr lang="en-ID" sz="1100" baseline="0"/>
            <a:t>HP</a:t>
          </a:r>
          <a:endParaRPr lang="en-ID" sz="1100"/>
        </a:p>
      </xdr:txBody>
    </xdr:sp>
    <xdr:clientData/>
  </xdr:oneCellAnchor>
  <xdr:twoCellAnchor>
    <xdr:from>
      <xdr:col>1</xdr:col>
      <xdr:colOff>1423147</xdr:colOff>
      <xdr:row>145</xdr:row>
      <xdr:rowOff>89649</xdr:rowOff>
    </xdr:from>
    <xdr:to>
      <xdr:col>9</xdr:col>
      <xdr:colOff>369794</xdr:colOff>
      <xdr:row>146</xdr:row>
      <xdr:rowOff>100856</xdr:rowOff>
    </xdr:to>
    <xdr:sp macro="" textlink="">
      <xdr:nvSpPr>
        <xdr:cNvPr id="93" name="Right Brace 92">
          <a:extLst>
            <a:ext uri="{FF2B5EF4-FFF2-40B4-BE49-F238E27FC236}">
              <a16:creationId xmlns:a16="http://schemas.microsoft.com/office/drawing/2014/main" id="{21419E7C-859E-43AB-899E-B326994CE21D}"/>
            </a:ext>
          </a:extLst>
        </xdr:cNvPr>
        <xdr:cNvSpPr/>
      </xdr:nvSpPr>
      <xdr:spPr>
        <a:xfrm rot="5400000">
          <a:off x="6476999" y="21638562"/>
          <a:ext cx="190501" cy="9087970"/>
        </a:xfrm>
        <a:prstGeom prst="rightBrace">
          <a:avLst>
            <a:gd name="adj1" fmla="val 8333"/>
            <a:gd name="adj2" fmla="val 50161"/>
          </a:avLst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4</xdr:col>
      <xdr:colOff>1593196</xdr:colOff>
      <xdr:row>146</xdr:row>
      <xdr:rowOff>115140</xdr:rowOff>
    </xdr:from>
    <xdr:ext cx="770404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9A55F87-1FBF-4527-8ADD-E3E888386B74}"/>
            </a:ext>
          </a:extLst>
        </xdr:cNvPr>
        <xdr:cNvSpPr txBox="1"/>
      </xdr:nvSpPr>
      <xdr:spPr>
        <a:xfrm>
          <a:off x="6165196" y="26292081"/>
          <a:ext cx="770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300.51 HP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</xdr:row>
      <xdr:rowOff>119062</xdr:rowOff>
    </xdr:from>
    <xdr:to>
      <xdr:col>16</xdr:col>
      <xdr:colOff>571500</xdr:colOff>
      <xdr:row>19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A636FE-1C79-4724-9ADF-0363516EC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</xdr:row>
      <xdr:rowOff>9525</xdr:rowOff>
    </xdr:from>
    <xdr:to>
      <xdr:col>6</xdr:col>
      <xdr:colOff>494820</xdr:colOff>
      <xdr:row>6</xdr:row>
      <xdr:rowOff>9430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F69A4-1BF2-4B9F-92C2-59A6E82B8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390525"/>
          <a:ext cx="3838095" cy="7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</xdr:row>
      <xdr:rowOff>57150</xdr:rowOff>
    </xdr:from>
    <xdr:to>
      <xdr:col>14</xdr:col>
      <xdr:colOff>285229</xdr:colOff>
      <xdr:row>28</xdr:row>
      <xdr:rowOff>37459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0015AF-1BFB-4495-9764-CAE44BB8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247650"/>
          <a:ext cx="4171429" cy="512380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23</xdr:row>
      <xdr:rowOff>57150</xdr:rowOff>
    </xdr:from>
    <xdr:to>
      <xdr:col>12</xdr:col>
      <xdr:colOff>51289</xdr:colOff>
      <xdr:row>23</xdr:row>
      <xdr:rowOff>57150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7F36B13-7F3A-4EAB-8B4A-B66A4718CA46}"/>
            </a:ext>
          </a:extLst>
        </xdr:cNvPr>
        <xdr:cNvCxnSpPr/>
      </xdr:nvCxnSpPr>
      <xdr:spPr>
        <a:xfrm>
          <a:off x="5398477" y="4438650"/>
          <a:ext cx="19504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53488</xdr:colOff>
      <xdr:row>23</xdr:row>
      <xdr:rowOff>40299</xdr:rowOff>
    </xdr:from>
    <xdr:to>
      <xdr:col>12</xdr:col>
      <xdr:colOff>56951</xdr:colOff>
      <xdr:row>25</xdr:row>
      <xdr:rowOff>78399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A674482-CAF1-43B9-823B-017A306646C1}"/>
            </a:ext>
          </a:extLst>
        </xdr:cNvPr>
        <xdr:cNvCxnSpPr/>
      </xdr:nvCxnSpPr>
      <xdr:spPr>
        <a:xfrm flipH="1">
          <a:off x="7351103" y="4421799"/>
          <a:ext cx="3463" cy="4191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</xdr:row>
      <xdr:rowOff>0</xdr:rowOff>
    </xdr:from>
    <xdr:to>
      <xdr:col>11</xdr:col>
      <xdr:colOff>237528</xdr:colOff>
      <xdr:row>43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CFF2AE-C437-4EB6-8135-1BEB8227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571500"/>
          <a:ext cx="6123978" cy="7667625"/>
        </a:xfrm>
        <a:prstGeom prst="rect">
          <a:avLst/>
        </a:prstGeom>
      </xdr:spPr>
    </xdr:pic>
    <xdr:clientData/>
  </xdr:twoCellAnchor>
  <xdr:twoCellAnchor>
    <xdr:from>
      <xdr:col>4</xdr:col>
      <xdr:colOff>118242</xdr:colOff>
      <xdr:row>10</xdr:row>
      <xdr:rowOff>115765</xdr:rowOff>
    </xdr:from>
    <xdr:to>
      <xdr:col>10</xdr:col>
      <xdr:colOff>4397</xdr:colOff>
      <xdr:row>10</xdr:row>
      <xdr:rowOff>115765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BE88674-AF35-49AD-B68B-A1F9CD4D1ED7}"/>
            </a:ext>
          </a:extLst>
        </xdr:cNvPr>
        <xdr:cNvCxnSpPr/>
      </xdr:nvCxnSpPr>
      <xdr:spPr>
        <a:xfrm>
          <a:off x="2561897" y="2020765"/>
          <a:ext cx="3551638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117434</xdr:colOff>
      <xdr:row>10</xdr:row>
      <xdr:rowOff>107630</xdr:rowOff>
    </xdr:from>
    <xdr:to>
      <xdr:col>4</xdr:col>
      <xdr:colOff>117434</xdr:colOff>
      <xdr:row>28</xdr:row>
      <xdr:rowOff>131379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7D0C159-6D8C-434C-9B10-4BD796A3413D}"/>
            </a:ext>
          </a:extLst>
        </xdr:cNvPr>
        <xdr:cNvCxnSpPr/>
      </xdr:nvCxnSpPr>
      <xdr:spPr>
        <a:xfrm>
          <a:off x="2561089" y="2012630"/>
          <a:ext cx="0" cy="3452749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509222</xdr:colOff>
      <xdr:row>28</xdr:row>
      <xdr:rowOff>140121</xdr:rowOff>
    </xdr:from>
    <xdr:to>
      <xdr:col>4</xdr:col>
      <xdr:colOff>137948</xdr:colOff>
      <xdr:row>28</xdr:row>
      <xdr:rowOff>140121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75B0540-54A3-4B48-8CAD-337529AF4DCB}"/>
            </a:ext>
          </a:extLst>
        </xdr:cNvPr>
        <xdr:cNvCxnSpPr/>
      </xdr:nvCxnSpPr>
      <xdr:spPr>
        <a:xfrm>
          <a:off x="1731050" y="5474121"/>
          <a:ext cx="850553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479282</xdr:colOff>
      <xdr:row>13</xdr:row>
      <xdr:rowOff>10662</xdr:rowOff>
    </xdr:from>
    <xdr:to>
      <xdr:col>6</xdr:col>
      <xdr:colOff>361293</xdr:colOff>
      <xdr:row>13</xdr:row>
      <xdr:rowOff>10662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A5B905B-AA80-4DF3-90CF-D53CC31873EE}"/>
            </a:ext>
          </a:extLst>
        </xdr:cNvPr>
        <xdr:cNvCxnSpPr/>
      </xdr:nvCxnSpPr>
      <xdr:spPr>
        <a:xfrm>
          <a:off x="2922937" y="2487162"/>
          <a:ext cx="11038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98785</xdr:colOff>
      <xdr:row>1</xdr:row>
      <xdr:rowOff>61344</xdr:rowOff>
    </xdr:from>
    <xdr:to>
      <xdr:col>12</xdr:col>
      <xdr:colOff>394651</xdr:colOff>
      <xdr:row>25</xdr:row>
      <xdr:rowOff>98868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8C8642-6C8F-4E44-909C-23CB907A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2579" y="251844"/>
          <a:ext cx="5741925" cy="4609524"/>
        </a:xfrm>
        <a:prstGeom prst="rect">
          <a:avLst/>
        </a:prstGeom>
      </xdr:spPr>
    </xdr:pic>
    <xdr:clientData/>
  </xdr:twoCellAnchor>
  <xdr:twoCellAnchor>
    <xdr:from>
      <xdr:col>3</xdr:col>
      <xdr:colOff>571499</xdr:colOff>
      <xdr:row>12</xdr:row>
      <xdr:rowOff>21771</xdr:rowOff>
    </xdr:from>
    <xdr:to>
      <xdr:col>3</xdr:col>
      <xdr:colOff>571499</xdr:colOff>
      <xdr:row>24</xdr:row>
      <xdr:rowOff>70763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9B1C062F-E7D9-4DBD-8EC1-9717D113FCFA}"/>
            </a:ext>
          </a:extLst>
        </xdr:cNvPr>
        <xdr:cNvCxnSpPr/>
      </xdr:nvCxnSpPr>
      <xdr:spPr>
        <a:xfrm flipV="1">
          <a:off x="2400299" y="2307771"/>
          <a:ext cx="0" cy="23349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244929</xdr:colOff>
      <xdr:row>12</xdr:row>
      <xdr:rowOff>32658</xdr:rowOff>
    </xdr:from>
    <xdr:to>
      <xdr:col>3</xdr:col>
      <xdr:colOff>576943</xdr:colOff>
      <xdr:row>12</xdr:row>
      <xdr:rowOff>32658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6FF3A1C8-01F3-48C2-AE35-B4271017CA30}"/>
            </a:ext>
          </a:extLst>
        </xdr:cNvPr>
        <xdr:cNvCxnSpPr/>
      </xdr:nvCxnSpPr>
      <xdr:spPr>
        <a:xfrm>
          <a:off x="1464129" y="2318658"/>
          <a:ext cx="94161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145677</xdr:colOff>
      <xdr:row>1</xdr:row>
      <xdr:rowOff>145676</xdr:rowOff>
    </xdr:from>
    <xdr:to>
      <xdr:col>22</xdr:col>
      <xdr:colOff>589955</xdr:colOff>
      <xdr:row>24</xdr:row>
      <xdr:rowOff>179294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57B72BF-5099-4218-A3D1-453E7BE9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0648" y="336176"/>
          <a:ext cx="5890336" cy="4415118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145677</xdr:colOff>
      <xdr:row>26</xdr:row>
      <xdr:rowOff>156883</xdr:rowOff>
    </xdr:from>
    <xdr:to>
      <xdr:col>12</xdr:col>
      <xdr:colOff>369794</xdr:colOff>
      <xdr:row>48</xdr:row>
      <xdr:rowOff>74845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C897329-5AEE-4D9C-A9C8-33E13F03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8960" y="5109883"/>
          <a:ext cx="5740334" cy="4108962"/>
        </a:xfrm>
        <a:prstGeom prst="rect">
          <a:avLst/>
        </a:prstGeom>
      </xdr:spPr>
    </xdr:pic>
    <xdr:clientData/>
  </xdr:twoCellAnchor>
  <xdr:twoCellAnchor editAs="oneCell">
    <xdr:from>
      <xdr:col>13</xdr:col>
      <xdr:colOff>156882</xdr:colOff>
      <xdr:row>28</xdr:row>
      <xdr:rowOff>11206</xdr:rowOff>
    </xdr:from>
    <xdr:to>
      <xdr:col>22</xdr:col>
      <xdr:colOff>253681</xdr:colOff>
      <xdr:row>49</xdr:row>
      <xdr:rowOff>1182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9D33C07-4F5D-4DC7-97D6-6210F9056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01853" y="5345206"/>
          <a:ext cx="5542857" cy="39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179295</xdr:colOff>
      <xdr:row>49</xdr:row>
      <xdr:rowOff>56029</xdr:rowOff>
    </xdr:from>
    <xdr:to>
      <xdr:col>12</xdr:col>
      <xdr:colOff>476093</xdr:colOff>
      <xdr:row>70</xdr:row>
      <xdr:rowOff>65053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257F90C-3659-4539-9798-880D5B1C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73089" y="9390529"/>
          <a:ext cx="5742857" cy="4009524"/>
        </a:xfrm>
        <a:prstGeom prst="rect">
          <a:avLst/>
        </a:prstGeom>
      </xdr:spPr>
    </xdr:pic>
    <xdr:clientData/>
  </xdr:twoCellAnchor>
  <xdr:twoCellAnchor>
    <xdr:from>
      <xdr:col>4</xdr:col>
      <xdr:colOff>24847</xdr:colOff>
      <xdr:row>33</xdr:row>
      <xdr:rowOff>115957</xdr:rowOff>
    </xdr:from>
    <xdr:to>
      <xdr:col>4</xdr:col>
      <xdr:colOff>24847</xdr:colOff>
      <xdr:row>46</xdr:row>
      <xdr:rowOff>165653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C9D4EB02-58F1-4E27-BF69-0E131E958EE3}"/>
            </a:ext>
          </a:extLst>
        </xdr:cNvPr>
        <xdr:cNvCxnSpPr/>
      </xdr:nvCxnSpPr>
      <xdr:spPr>
        <a:xfrm flipV="1">
          <a:off x="2551043" y="6402457"/>
          <a:ext cx="0" cy="25261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521804</xdr:colOff>
      <xdr:row>33</xdr:row>
      <xdr:rowOff>107674</xdr:rowOff>
    </xdr:from>
    <xdr:to>
      <xdr:col>4</xdr:col>
      <xdr:colOff>33130</xdr:colOff>
      <xdr:row>33</xdr:row>
      <xdr:rowOff>107674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A5A720E-E7FB-45A7-8E81-9A9782B140A1}"/>
            </a:ext>
          </a:extLst>
        </xdr:cNvPr>
        <xdr:cNvCxnSpPr/>
      </xdr:nvCxnSpPr>
      <xdr:spPr>
        <a:xfrm>
          <a:off x="2435087" y="6394174"/>
          <a:ext cx="1242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135834</xdr:colOff>
      <xdr:row>33</xdr:row>
      <xdr:rowOff>149087</xdr:rowOff>
    </xdr:from>
    <xdr:to>
      <xdr:col>4</xdr:col>
      <xdr:colOff>135834</xdr:colOff>
      <xdr:row>46</xdr:row>
      <xdr:rowOff>160684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B303BD49-BE34-4B8E-A296-7DEF4D15DFF6}"/>
            </a:ext>
          </a:extLst>
        </xdr:cNvPr>
        <xdr:cNvCxnSpPr/>
      </xdr:nvCxnSpPr>
      <xdr:spPr>
        <a:xfrm flipV="1">
          <a:off x="2662030" y="6435587"/>
          <a:ext cx="0" cy="248809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33</xdr:row>
      <xdr:rowOff>177248</xdr:rowOff>
    </xdr:from>
    <xdr:to>
      <xdr:col>4</xdr:col>
      <xdr:colOff>149087</xdr:colOff>
      <xdr:row>33</xdr:row>
      <xdr:rowOff>177248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F0F10BF4-ECD4-433A-AFE0-9428750D323E}"/>
            </a:ext>
          </a:extLst>
        </xdr:cNvPr>
        <xdr:cNvCxnSpPr/>
      </xdr:nvCxnSpPr>
      <xdr:spPr>
        <a:xfrm>
          <a:off x="2446683" y="6463748"/>
          <a:ext cx="228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130864</xdr:colOff>
      <xdr:row>34</xdr:row>
      <xdr:rowOff>33130</xdr:rowOff>
    </xdr:from>
    <xdr:to>
      <xdr:col>4</xdr:col>
      <xdr:colOff>130864</xdr:colOff>
      <xdr:row>47</xdr:row>
      <xdr:rowOff>6628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E91AB034-E5E8-4E31-BAD0-4E9874F0CDDA}"/>
            </a:ext>
          </a:extLst>
        </xdr:cNvPr>
        <xdr:cNvCxnSpPr/>
      </xdr:nvCxnSpPr>
      <xdr:spPr>
        <a:xfrm flipV="1">
          <a:off x="2657060" y="6510130"/>
          <a:ext cx="0" cy="24499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357808</xdr:colOff>
      <xdr:row>34</xdr:row>
      <xdr:rowOff>165652</xdr:rowOff>
    </xdr:from>
    <xdr:to>
      <xdr:col>4</xdr:col>
      <xdr:colOff>357808</xdr:colOff>
      <xdr:row>46</xdr:row>
      <xdr:rowOff>175594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CEF8ACAB-2428-4E3F-9881-BB5850EECB27}"/>
            </a:ext>
          </a:extLst>
        </xdr:cNvPr>
        <xdr:cNvCxnSpPr/>
      </xdr:nvCxnSpPr>
      <xdr:spPr>
        <a:xfrm flipV="1">
          <a:off x="2884004" y="6642652"/>
          <a:ext cx="0" cy="22959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554934</xdr:colOff>
      <xdr:row>34</xdr:row>
      <xdr:rowOff>39757</xdr:rowOff>
    </xdr:from>
    <xdr:to>
      <xdr:col>4</xdr:col>
      <xdr:colOff>351183</xdr:colOff>
      <xdr:row>34</xdr:row>
      <xdr:rowOff>39757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93114877-61D3-491E-967E-C0036B480DCB}"/>
            </a:ext>
          </a:extLst>
        </xdr:cNvPr>
        <xdr:cNvCxnSpPr/>
      </xdr:nvCxnSpPr>
      <xdr:spPr>
        <a:xfrm>
          <a:off x="2468217" y="6516757"/>
          <a:ext cx="409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566530</xdr:colOff>
      <xdr:row>34</xdr:row>
      <xdr:rowOff>167310</xdr:rowOff>
    </xdr:from>
    <xdr:to>
      <xdr:col>4</xdr:col>
      <xdr:colOff>362779</xdr:colOff>
      <xdr:row>34</xdr:row>
      <xdr:rowOff>167310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56F2912A-79E8-45FB-8167-15A2AA3F91CC}"/>
            </a:ext>
          </a:extLst>
        </xdr:cNvPr>
        <xdr:cNvCxnSpPr/>
      </xdr:nvCxnSpPr>
      <xdr:spPr>
        <a:xfrm>
          <a:off x="2479813" y="6644310"/>
          <a:ext cx="4091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120925</xdr:colOff>
      <xdr:row>34</xdr:row>
      <xdr:rowOff>91109</xdr:rowOff>
    </xdr:from>
    <xdr:to>
      <xdr:col>5</xdr:col>
      <xdr:colOff>120925</xdr:colOff>
      <xdr:row>46</xdr:row>
      <xdr:rowOff>137494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BFC9F9C5-9112-4BBF-BED5-DBBEA92DEB36}"/>
            </a:ext>
          </a:extLst>
        </xdr:cNvPr>
        <xdr:cNvCxnSpPr/>
      </xdr:nvCxnSpPr>
      <xdr:spPr>
        <a:xfrm flipV="1">
          <a:off x="3260034" y="6568109"/>
          <a:ext cx="0" cy="23323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563217</xdr:colOff>
      <xdr:row>34</xdr:row>
      <xdr:rowOff>96080</xdr:rowOff>
    </xdr:from>
    <xdr:to>
      <xdr:col>5</xdr:col>
      <xdr:colOff>117614</xdr:colOff>
      <xdr:row>34</xdr:row>
      <xdr:rowOff>96080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1030336C-6672-42C6-8991-72B20979BD6F}"/>
            </a:ext>
          </a:extLst>
        </xdr:cNvPr>
        <xdr:cNvCxnSpPr/>
      </xdr:nvCxnSpPr>
      <xdr:spPr>
        <a:xfrm>
          <a:off x="2476500" y="6573080"/>
          <a:ext cx="78022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19050</xdr:rowOff>
    </xdr:from>
    <xdr:to>
      <xdr:col>12</xdr:col>
      <xdr:colOff>161925</xdr:colOff>
      <xdr:row>46</xdr:row>
      <xdr:rowOff>39214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E66E10-9D24-438D-81E8-E569ABCE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09550"/>
          <a:ext cx="6962775" cy="8592664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16</xdr:row>
      <xdr:rowOff>180975</xdr:rowOff>
    </xdr:from>
    <xdr:to>
      <xdr:col>9</xdr:col>
      <xdr:colOff>57150</xdr:colOff>
      <xdr:row>43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7C21CDA-4505-42C1-B547-3CAF479B360D}"/>
            </a:ext>
          </a:extLst>
        </xdr:cNvPr>
        <xdr:cNvCxnSpPr/>
      </xdr:nvCxnSpPr>
      <xdr:spPr>
        <a:xfrm>
          <a:off x="5543550" y="3228975"/>
          <a:ext cx="0" cy="4962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366713</xdr:colOff>
      <xdr:row>17</xdr:row>
      <xdr:rowOff>23812</xdr:rowOff>
    </xdr:from>
    <xdr:to>
      <xdr:col>9</xdr:col>
      <xdr:colOff>47625</xdr:colOff>
      <xdr:row>17</xdr:row>
      <xdr:rowOff>23812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70F38A5-098F-4456-A57A-1737130AB583}"/>
            </a:ext>
          </a:extLst>
        </xdr:cNvPr>
        <xdr:cNvCxnSpPr/>
      </xdr:nvCxnSpPr>
      <xdr:spPr>
        <a:xfrm flipH="1">
          <a:off x="1585913" y="3262312"/>
          <a:ext cx="3948112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28</xdr:row>
      <xdr:rowOff>95250</xdr:rowOff>
    </xdr:from>
    <xdr:to>
      <xdr:col>5</xdr:col>
      <xdr:colOff>104775</xdr:colOff>
      <xdr:row>43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67EF234-E547-4976-BB08-6E6007B08450}"/>
            </a:ext>
          </a:extLst>
        </xdr:cNvPr>
        <xdr:cNvCxnSpPr/>
      </xdr:nvCxnSpPr>
      <xdr:spPr>
        <a:xfrm>
          <a:off x="3152775" y="5429250"/>
          <a:ext cx="0" cy="27908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357188</xdr:colOff>
      <xdr:row>28</xdr:row>
      <xdr:rowOff>90487</xdr:rowOff>
    </xdr:from>
    <xdr:to>
      <xdr:col>9</xdr:col>
      <xdr:colOff>38100</xdr:colOff>
      <xdr:row>28</xdr:row>
      <xdr:rowOff>90487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EC43523-3AC2-486D-B96D-56A0DDF6DBAB}"/>
            </a:ext>
          </a:extLst>
        </xdr:cNvPr>
        <xdr:cNvCxnSpPr/>
      </xdr:nvCxnSpPr>
      <xdr:spPr>
        <a:xfrm flipH="1">
          <a:off x="1576388" y="5424487"/>
          <a:ext cx="3948112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25</xdr:row>
      <xdr:rowOff>47625</xdr:rowOff>
    </xdr:from>
    <xdr:to>
      <xdr:col>5</xdr:col>
      <xdr:colOff>571500</xdr:colOff>
      <xdr:row>43</xdr:row>
      <xdr:rowOff>19050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2A38B8F-742D-4A4F-9C99-A3C73D2094FB}"/>
            </a:ext>
          </a:extLst>
        </xdr:cNvPr>
        <xdr:cNvCxnSpPr/>
      </xdr:nvCxnSpPr>
      <xdr:spPr>
        <a:xfrm>
          <a:off x="3619500" y="4810125"/>
          <a:ext cx="0" cy="34004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347663</xdr:colOff>
      <xdr:row>25</xdr:row>
      <xdr:rowOff>71437</xdr:rowOff>
    </xdr:from>
    <xdr:to>
      <xdr:col>9</xdr:col>
      <xdr:colOff>28575</xdr:colOff>
      <xdr:row>25</xdr:row>
      <xdr:rowOff>71437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688090D-9F7C-4C0E-9216-B931A74570D6}"/>
            </a:ext>
          </a:extLst>
        </xdr:cNvPr>
        <xdr:cNvCxnSpPr/>
      </xdr:nvCxnSpPr>
      <xdr:spPr>
        <a:xfrm flipH="1">
          <a:off x="1566863" y="4833937"/>
          <a:ext cx="3948112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9525</xdr:rowOff>
    </xdr:from>
    <xdr:to>
      <xdr:col>8</xdr:col>
      <xdr:colOff>418573</xdr:colOff>
      <xdr:row>29</xdr:row>
      <xdr:rowOff>161239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7E878-AD3B-4500-815B-221CBCEB5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00025"/>
          <a:ext cx="4219048" cy="54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8</xdr:col>
      <xdr:colOff>47101</xdr:colOff>
      <xdr:row>29</xdr:row>
      <xdr:rowOff>151705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36AAA-3041-405E-96E4-9246F523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14300"/>
          <a:ext cx="4190476" cy="5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17420-531A-44D0-82CC-5325C53C1676}">
  <sheetPr>
    <tabColor rgb="FFFFFF00"/>
  </sheetPr>
  <dimension ref="B2:G62"/>
  <sheetViews>
    <sheetView showGridLines="0" zoomScaleNormal="100" workbookViewId="0">
      <selection activeCell="F32" sqref="F32"/>
    </sheetView>
  </sheetViews>
  <sheetFormatPr defaultRowHeight="14.25" customHeight="1" x14ac:dyDescent="0.25"/>
  <cols>
    <col min="1" max="1" width="9.140625" style="1"/>
    <col min="2" max="2" width="33.140625" style="1" bestFit="1" customWidth="1"/>
    <col min="3" max="3" width="10.42578125" style="1" bestFit="1" customWidth="1"/>
    <col min="4" max="4" width="16" style="1" bestFit="1" customWidth="1"/>
    <col min="5" max="5" width="53.7109375" style="1" bestFit="1" customWidth="1"/>
    <col min="6" max="16384" width="9.140625" style="1"/>
  </cols>
  <sheetData>
    <row r="2" spans="2:7" ht="14.25" customHeight="1" x14ac:dyDescent="0.25">
      <c r="B2" s="6" t="s">
        <v>0</v>
      </c>
      <c r="C2" s="6" t="s">
        <v>1</v>
      </c>
      <c r="D2" s="7">
        <v>2</v>
      </c>
      <c r="E2" s="6"/>
    </row>
    <row r="3" spans="2:7" ht="14.25" customHeight="1" x14ac:dyDescent="0.25">
      <c r="B3" s="6" t="s">
        <v>2</v>
      </c>
      <c r="C3" s="6" t="s">
        <v>3</v>
      </c>
      <c r="D3" s="7">
        <v>100</v>
      </c>
      <c r="E3" s="6"/>
      <c r="F3" s="2"/>
      <c r="G3" s="1" t="s">
        <v>66</v>
      </c>
    </row>
    <row r="4" spans="2:7" ht="14.25" customHeight="1" x14ac:dyDescent="0.25">
      <c r="B4" s="6" t="s">
        <v>4</v>
      </c>
      <c r="C4" s="6" t="s">
        <v>5</v>
      </c>
      <c r="D4" s="7">
        <v>100</v>
      </c>
      <c r="E4" s="6"/>
      <c r="F4" s="3"/>
      <c r="G4" s="1" t="s">
        <v>67</v>
      </c>
    </row>
    <row r="5" spans="2:7" ht="14.25" customHeight="1" x14ac:dyDescent="0.25">
      <c r="B5" s="6" t="s">
        <v>6</v>
      </c>
      <c r="C5" s="6" t="s">
        <v>3</v>
      </c>
      <c r="D5" s="7">
        <v>900</v>
      </c>
      <c r="E5" s="6"/>
      <c r="F5" s="24"/>
      <c r="G5" s="1" t="s">
        <v>68</v>
      </c>
    </row>
    <row r="6" spans="2:7" ht="14.25" customHeight="1" x14ac:dyDescent="0.25">
      <c r="B6" s="6" t="s">
        <v>8</v>
      </c>
      <c r="C6" s="6"/>
      <c r="D6" s="7">
        <v>23</v>
      </c>
      <c r="E6" s="6"/>
    </row>
    <row r="7" spans="2:7" ht="14.25" customHeight="1" x14ac:dyDescent="0.25">
      <c r="B7" s="6" t="s">
        <v>7</v>
      </c>
      <c r="C7" s="6"/>
      <c r="D7" s="8">
        <f>D6/28.96</f>
        <v>0.79419889502762431</v>
      </c>
      <c r="E7" s="6"/>
    </row>
    <row r="8" spans="2:7" ht="14.25" customHeight="1" x14ac:dyDescent="0.25">
      <c r="B8" s="6" t="s">
        <v>19</v>
      </c>
      <c r="C8" s="6"/>
      <c r="D8" s="11">
        <v>1.21</v>
      </c>
      <c r="E8" s="6" t="s">
        <v>20</v>
      </c>
    </row>
    <row r="9" spans="2:7" ht="14.25" customHeight="1" x14ac:dyDescent="0.25">
      <c r="B9" s="6"/>
      <c r="C9" s="6"/>
      <c r="D9" s="6"/>
      <c r="E9" s="6"/>
    </row>
    <row r="10" spans="2:7" ht="14.25" customHeight="1" x14ac:dyDescent="0.25">
      <c r="B10" s="6" t="s">
        <v>9</v>
      </c>
      <c r="C10" s="6"/>
      <c r="D10" s="9">
        <f>D5/D3</f>
        <v>9</v>
      </c>
      <c r="E10" s="6"/>
    </row>
    <row r="13" spans="2:7" ht="14.25" customHeight="1" x14ac:dyDescent="0.25">
      <c r="B13" s="6" t="s">
        <v>10</v>
      </c>
      <c r="C13" s="6"/>
      <c r="D13" s="7">
        <v>2</v>
      </c>
      <c r="E13" s="6" t="s">
        <v>12</v>
      </c>
    </row>
    <row r="14" spans="2:7" ht="14.25" customHeight="1" x14ac:dyDescent="0.25">
      <c r="B14" s="6" t="s">
        <v>11</v>
      </c>
      <c r="C14" s="6"/>
      <c r="D14" s="8">
        <f>IF(D13=1,D10,IF(D13=2,D10^(1/2),IF(D13=3,D10^(1/3),IF(D13=4,D10^(1/4),"ERROR"))))</f>
        <v>3</v>
      </c>
      <c r="E14" s="6"/>
    </row>
    <row r="15" spans="2:7" ht="14.25" customHeight="1" x14ac:dyDescent="0.25">
      <c r="B15" s="6" t="s">
        <v>13</v>
      </c>
      <c r="C15" s="6" t="s">
        <v>3</v>
      </c>
      <c r="D15" s="8">
        <f>D3*D14</f>
        <v>300</v>
      </c>
      <c r="E15" s="6"/>
    </row>
    <row r="16" spans="2:7" ht="14.25" customHeight="1" x14ac:dyDescent="0.25">
      <c r="B16" s="6" t="s">
        <v>14</v>
      </c>
      <c r="C16" s="6" t="s">
        <v>15</v>
      </c>
      <c r="D16" s="7">
        <v>5</v>
      </c>
      <c r="E16" s="6" t="s">
        <v>16</v>
      </c>
    </row>
    <row r="17" spans="2:5" ht="14.25" customHeight="1" x14ac:dyDescent="0.25">
      <c r="B17" s="6" t="s">
        <v>17</v>
      </c>
      <c r="C17" s="6" t="s">
        <v>3</v>
      </c>
      <c r="D17" s="8">
        <f>D15-D16</f>
        <v>295</v>
      </c>
      <c r="E17" s="6"/>
    </row>
    <row r="18" spans="2:5" ht="14.25" customHeight="1" x14ac:dyDescent="0.25">
      <c r="B18" s="6" t="s">
        <v>18</v>
      </c>
      <c r="C18" s="6"/>
      <c r="D18" s="8">
        <f>D5/D17</f>
        <v>3.0508474576271185</v>
      </c>
      <c r="E18" s="6"/>
    </row>
    <row r="19" spans="2:5" ht="14.25" customHeight="1" x14ac:dyDescent="0.25">
      <c r="B19" s="6" t="s">
        <v>21</v>
      </c>
      <c r="C19" s="6" t="s">
        <v>5</v>
      </c>
      <c r="D19" s="11">
        <v>220</v>
      </c>
      <c r="E19" s="6" t="s">
        <v>22</v>
      </c>
    </row>
    <row r="20" spans="2:5" ht="14.25" customHeight="1" x14ac:dyDescent="0.25">
      <c r="B20" s="6"/>
      <c r="C20" s="6" t="s">
        <v>5</v>
      </c>
      <c r="D20" s="8">
        <f>(D4+460)*D14^((D8-1)/D8)-460</f>
        <v>217.6324502535449</v>
      </c>
      <c r="E20" s="6" t="s">
        <v>23</v>
      </c>
    </row>
    <row r="21" spans="2:5" ht="14.25" customHeight="1" x14ac:dyDescent="0.25">
      <c r="B21" s="6" t="s">
        <v>28</v>
      </c>
      <c r="C21" s="6" t="s">
        <v>5</v>
      </c>
      <c r="D21" s="12">
        <f>(D20+D4)/2</f>
        <v>158.81622512677245</v>
      </c>
      <c r="E21" s="6"/>
    </row>
    <row r="22" spans="2:5" ht="14.25" customHeight="1" x14ac:dyDescent="0.25">
      <c r="B22" s="6" t="s">
        <v>24</v>
      </c>
      <c r="C22" s="6"/>
      <c r="D22" s="13" t="s">
        <v>25</v>
      </c>
      <c r="E22" s="6"/>
    </row>
    <row r="23" spans="2:5" ht="14.25" customHeight="1" x14ac:dyDescent="0.25">
      <c r="B23" s="6" t="s">
        <v>26</v>
      </c>
      <c r="C23" s="6" t="s">
        <v>5</v>
      </c>
      <c r="D23" s="7">
        <v>120</v>
      </c>
      <c r="E23" s="6"/>
    </row>
    <row r="24" spans="2:5" ht="14.25" customHeight="1" x14ac:dyDescent="0.25">
      <c r="B24" s="6" t="s">
        <v>27</v>
      </c>
      <c r="C24" s="6" t="s">
        <v>5</v>
      </c>
      <c r="D24" s="11">
        <v>244</v>
      </c>
      <c r="E24" s="6" t="s">
        <v>22</v>
      </c>
    </row>
    <row r="25" spans="2:5" ht="14.25" customHeight="1" x14ac:dyDescent="0.25">
      <c r="B25" s="6"/>
      <c r="C25" s="6" t="s">
        <v>5</v>
      </c>
      <c r="D25" s="8">
        <f>(D23+460)*(D18)^((D8-1)/D8)-460</f>
        <v>243.88380292824911</v>
      </c>
      <c r="E25" s="6" t="s">
        <v>23</v>
      </c>
    </row>
    <row r="26" spans="2:5" ht="14.25" customHeight="1" x14ac:dyDescent="0.25">
      <c r="B26" s="6" t="s">
        <v>28</v>
      </c>
      <c r="C26" s="6"/>
      <c r="D26" s="8">
        <f>(D25+D23)/2</f>
        <v>181.94190146412456</v>
      </c>
      <c r="E26" s="6" t="s">
        <v>29</v>
      </c>
    </row>
    <row r="29" spans="2:5" ht="14.25" customHeight="1" x14ac:dyDescent="0.25">
      <c r="B29" s="6" t="s">
        <v>10</v>
      </c>
      <c r="C29" s="6"/>
      <c r="D29" s="7">
        <f>D13</f>
        <v>2</v>
      </c>
      <c r="E29" s="6" t="s">
        <v>12</v>
      </c>
    </row>
    <row r="30" spans="2:5" ht="14.25" customHeight="1" x14ac:dyDescent="0.25">
      <c r="B30" s="6" t="s">
        <v>2</v>
      </c>
      <c r="C30" s="6" t="s">
        <v>3</v>
      </c>
      <c r="D30" s="7">
        <f>D3</f>
        <v>100</v>
      </c>
      <c r="E30" s="6"/>
    </row>
    <row r="31" spans="2:5" ht="14.25" customHeight="1" x14ac:dyDescent="0.25">
      <c r="B31" s="6" t="s">
        <v>4</v>
      </c>
      <c r="C31" s="6" t="s">
        <v>5</v>
      </c>
      <c r="D31" s="7">
        <f>D4</f>
        <v>100</v>
      </c>
      <c r="E31" s="6"/>
    </row>
    <row r="32" spans="2:5" ht="14.25" customHeight="1" x14ac:dyDescent="0.25">
      <c r="B32" s="6" t="s">
        <v>13</v>
      </c>
      <c r="C32" s="6" t="s">
        <v>3</v>
      </c>
      <c r="D32" s="8">
        <f>D15</f>
        <v>300</v>
      </c>
      <c r="E32" s="6"/>
    </row>
    <row r="33" spans="2:6" ht="14.25" customHeight="1" x14ac:dyDescent="0.25">
      <c r="B33" s="6" t="s">
        <v>21</v>
      </c>
      <c r="C33" s="6" t="s">
        <v>5</v>
      </c>
      <c r="D33" s="8">
        <f>D20</f>
        <v>217.6324502535449</v>
      </c>
      <c r="E33" s="6" t="str">
        <f>E20</f>
        <v>Eq. 13.18 (Temperature in absolute R or K)</v>
      </c>
    </row>
    <row r="34" spans="2:6" ht="14.25" customHeight="1" x14ac:dyDescent="0.25">
      <c r="B34" s="6" t="s">
        <v>17</v>
      </c>
      <c r="C34" s="6" t="s">
        <v>3</v>
      </c>
      <c r="D34" s="8">
        <f>D17</f>
        <v>295</v>
      </c>
      <c r="E34" s="6"/>
    </row>
    <row r="35" spans="2:6" ht="14.25" customHeight="1" x14ac:dyDescent="0.25">
      <c r="B35" s="6" t="s">
        <v>30</v>
      </c>
      <c r="C35" s="6" t="s">
        <v>3</v>
      </c>
      <c r="D35" s="8">
        <f>D17*D18</f>
        <v>900</v>
      </c>
      <c r="E35" s="6"/>
    </row>
    <row r="36" spans="2:6" ht="14.25" customHeight="1" x14ac:dyDescent="0.25">
      <c r="B36" s="6" t="s">
        <v>27</v>
      </c>
      <c r="C36" s="6" t="s">
        <v>5</v>
      </c>
      <c r="D36" s="8">
        <f>D25</f>
        <v>243.88380292824911</v>
      </c>
      <c r="E36" s="6" t="str">
        <f>E25</f>
        <v>Eq. 13.18 (Temperature in absolute R or K)</v>
      </c>
    </row>
    <row r="38" spans="2:6" ht="14.25" customHeight="1" x14ac:dyDescent="0.25">
      <c r="B38" s="6" t="s">
        <v>31</v>
      </c>
      <c r="C38" s="6"/>
      <c r="D38" s="15"/>
      <c r="E38" s="6"/>
    </row>
    <row r="39" spans="2:6" ht="14.25" customHeight="1" x14ac:dyDescent="0.25">
      <c r="B39" s="14" t="s">
        <v>32</v>
      </c>
      <c r="C39" s="6"/>
      <c r="D39" s="11">
        <v>0.98</v>
      </c>
      <c r="E39" s="6" t="str">
        <f>"At "&amp;D3&amp;" psia and "&amp;D4&amp;" F"&amp;" (Figure 23.7)"</f>
        <v>At 100 psia and 100 F (Figure 23.7)</v>
      </c>
      <c r="F39" s="1" t="s">
        <v>69</v>
      </c>
    </row>
    <row r="40" spans="2:6" ht="14.25" customHeight="1" x14ac:dyDescent="0.25">
      <c r="B40" s="14" t="s">
        <v>33</v>
      </c>
      <c r="C40" s="6"/>
      <c r="D40" s="11">
        <v>0.97</v>
      </c>
      <c r="E40" s="6" t="str">
        <f>"At "&amp;D15&amp;" psia and "&amp;ROUNDUP(D20,0)&amp;" F"&amp;" (Figure 23.7)"</f>
        <v>At 300 psia and 218 F (Figure 23.7)</v>
      </c>
      <c r="F40" s="1" t="s">
        <v>69</v>
      </c>
    </row>
    <row r="41" spans="2:6" ht="14.25" customHeight="1" x14ac:dyDescent="0.25">
      <c r="B41" s="14" t="s">
        <v>34</v>
      </c>
      <c r="C41" s="6"/>
      <c r="D41" s="25">
        <f>(D39+D40)/2</f>
        <v>0.97499999999999998</v>
      </c>
      <c r="E41" s="6"/>
    </row>
    <row r="42" spans="2:6" ht="14.25" customHeight="1" x14ac:dyDescent="0.25">
      <c r="B42" s="6" t="s">
        <v>35</v>
      </c>
      <c r="C42" s="6"/>
      <c r="D42" s="15"/>
      <c r="E42" s="6"/>
    </row>
    <row r="43" spans="2:6" ht="14.25" customHeight="1" x14ac:dyDescent="0.25">
      <c r="B43" s="14" t="s">
        <v>32</v>
      </c>
      <c r="C43" s="6"/>
      <c r="D43" s="26">
        <v>0.92</v>
      </c>
      <c r="E43" s="6" t="str">
        <f>"At "&amp;D34&amp;" psia and "&amp;ROUNDUP(D23,0)&amp;" F"&amp;" (Figure 23.7)"</f>
        <v>At 295 psia and 120 F (Figure 23.7)</v>
      </c>
      <c r="F43" s="1" t="s">
        <v>69</v>
      </c>
    </row>
    <row r="44" spans="2:6" ht="14.25" customHeight="1" x14ac:dyDescent="0.25">
      <c r="B44" s="14" t="s">
        <v>33</v>
      </c>
      <c r="C44" s="6"/>
      <c r="D44" s="26">
        <v>0.9</v>
      </c>
      <c r="E44" s="6" t="str">
        <f>"At "&amp;D35&amp;" psia and "&amp;ROUNDUP(D36,0)&amp;" F"&amp;" (Figure 23.7)"</f>
        <v>At 900 psia and 244 F (Figure 23.7)</v>
      </c>
      <c r="F44" s="1" t="s">
        <v>69</v>
      </c>
    </row>
    <row r="45" spans="2:6" ht="14.25" customHeight="1" x14ac:dyDescent="0.25">
      <c r="B45" s="14" t="s">
        <v>34</v>
      </c>
      <c r="C45" s="6"/>
      <c r="D45" s="25">
        <f>(D43+D44)/2</f>
        <v>0.91</v>
      </c>
      <c r="E45" s="6"/>
    </row>
    <row r="48" spans="2:6" ht="14.25" customHeight="1" x14ac:dyDescent="0.25">
      <c r="B48" s="16" t="s">
        <v>36</v>
      </c>
      <c r="C48" s="6" t="s">
        <v>37</v>
      </c>
      <c r="D48" s="11">
        <v>63</v>
      </c>
      <c r="E48" s="6" t="str">
        <f>"At compression ratio "&amp;ROUNDUP(D14,2)&amp;" and k factor "&amp;ROUNDUP(D8,2)&amp;" (Figure 13.12)"</f>
        <v>At compression ratio 3 and k factor 1.21 (Figure 13.12)</v>
      </c>
    </row>
    <row r="49" spans="2:5" ht="14.25" customHeight="1" x14ac:dyDescent="0.25">
      <c r="B49" s="16" t="s">
        <v>38</v>
      </c>
      <c r="C49" s="6" t="s">
        <v>37</v>
      </c>
      <c r="D49" s="11">
        <v>64.5</v>
      </c>
      <c r="E49" s="6" t="str">
        <f>"At compression ratio "&amp;ROUNDUP(D18,2)&amp;" and k factor "&amp;ROUNDUP(D8,2)&amp;" (Figure 13.12)"</f>
        <v>At compression ratio 3.06 and k factor 1.21 (Figure 13.12)</v>
      </c>
    </row>
    <row r="51" spans="2:5" ht="14.25" customHeight="1" x14ac:dyDescent="0.25">
      <c r="B51" s="16" t="s">
        <v>39</v>
      </c>
      <c r="C51" s="6"/>
      <c r="D51" s="11">
        <v>1</v>
      </c>
      <c r="E51" s="6" t="str">
        <f>"At compression ratio "&amp;ROUNDUP(D14,2)&amp;" and inlet temperature "&amp;ROUNDUP(D4,2)&amp;" F"&amp;" (Figure 13.14)"</f>
        <v>At compression ratio 3 and inlet temperature 100 F (Figure 13.14)</v>
      </c>
    </row>
    <row r="52" spans="2:5" ht="14.25" customHeight="1" x14ac:dyDescent="0.25">
      <c r="B52" s="16" t="s">
        <v>40</v>
      </c>
      <c r="C52" s="6"/>
      <c r="D52" s="11">
        <v>1</v>
      </c>
      <c r="E52" s="6" t="str">
        <f>"At compression ratio "&amp;ROUNDUP(D14,2)&amp;" and SG "&amp;ROUNDUP(D7,3)&amp;" (Figure 13.15)"</f>
        <v>At compression ratio 3 and SG 0.795 (Figure 13.15)</v>
      </c>
    </row>
    <row r="54" spans="2:5" ht="14.25" customHeight="1" x14ac:dyDescent="0.25">
      <c r="B54" s="16" t="s">
        <v>42</v>
      </c>
      <c r="C54" s="6" t="s">
        <v>3</v>
      </c>
      <c r="D54" s="17">
        <v>14.65</v>
      </c>
      <c r="E54" s="6"/>
    </row>
    <row r="55" spans="2:5" ht="14.25" customHeight="1" x14ac:dyDescent="0.25">
      <c r="B55" s="16" t="s">
        <v>43</v>
      </c>
      <c r="C55" s="6" t="s">
        <v>44</v>
      </c>
      <c r="D55" s="17">
        <f>60+460</f>
        <v>520</v>
      </c>
      <c r="E55" s="6"/>
    </row>
    <row r="57" spans="2:5" ht="14.25" customHeight="1" x14ac:dyDescent="0.25">
      <c r="B57" s="16" t="s">
        <v>45</v>
      </c>
      <c r="C57" s="16" t="s">
        <v>48</v>
      </c>
      <c r="D57" s="8">
        <f>D48*(D54/14.4)*(D4+460)/(D55)*D41*D2*D51*D52</f>
        <v>134.59687500000001</v>
      </c>
      <c r="E57" s="6"/>
    </row>
    <row r="58" spans="2:5" ht="14.25" customHeight="1" x14ac:dyDescent="0.25">
      <c r="B58" s="16" t="s">
        <v>46</v>
      </c>
      <c r="C58" s="16" t="s">
        <v>48</v>
      </c>
      <c r="D58" s="8">
        <f>D49*(D54/14.4)*(D23+460)/D55*D45*D2*D51*D52</f>
        <v>133.20817708333337</v>
      </c>
      <c r="E58" s="6"/>
    </row>
    <row r="59" spans="2:5" ht="14.25" customHeight="1" x14ac:dyDescent="0.25">
      <c r="B59" s="16" t="s">
        <v>47</v>
      </c>
      <c r="C59" s="16" t="s">
        <v>48</v>
      </c>
      <c r="D59" s="8">
        <f>D58+D57</f>
        <v>267.80505208333341</v>
      </c>
      <c r="E59" s="14"/>
    </row>
    <row r="60" spans="2:5" ht="14.25" customHeight="1" x14ac:dyDescent="0.25">
      <c r="B60" s="18"/>
    </row>
    <row r="62" spans="2:5" ht="14.25" customHeight="1" x14ac:dyDescent="0.25">
      <c r="E62" s="1" t="s">
        <v>49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F6E1-02B8-4757-8F89-25FB1D2BE8B9}">
  <dimension ref="A1"/>
  <sheetViews>
    <sheetView topLeftCell="A7" workbookViewId="0">
      <selection activeCell="K11" sqref="K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28D8-0313-4D1E-B682-79514CEC81C9}">
  <dimension ref="A1"/>
  <sheetViews>
    <sheetView workbookViewId="0">
      <selection activeCell="N10" sqref="N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7CA2-96A9-4B25-9D09-51587AE8C365}">
  <dimension ref="B17:D17"/>
  <sheetViews>
    <sheetView workbookViewId="0">
      <selection activeCell="M16" sqref="M16"/>
    </sheetView>
  </sheetViews>
  <sheetFormatPr defaultRowHeight="15" x14ac:dyDescent="0.25"/>
  <sheetData>
    <row r="17" spans="2:4" x14ac:dyDescent="0.25">
      <c r="B17" t="s">
        <v>41</v>
      </c>
      <c r="C17">
        <v>14.4</v>
      </c>
      <c r="D17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A1D9-495C-4783-AE99-7F4BCAB10768}">
  <sheetPr>
    <tabColor rgb="FF00B050"/>
  </sheetPr>
  <dimension ref="B2:Q113"/>
  <sheetViews>
    <sheetView showGridLines="0" topLeftCell="A40" zoomScale="85" zoomScaleNormal="85" workbookViewId="0">
      <selection activeCell="G161" sqref="G161"/>
    </sheetView>
  </sheetViews>
  <sheetFormatPr defaultRowHeight="14.25" customHeight="1" x14ac:dyDescent="0.25"/>
  <cols>
    <col min="1" max="1" width="9.140625" style="1"/>
    <col min="2" max="2" width="33.140625" style="1" bestFit="1" customWidth="1"/>
    <col min="3" max="3" width="12.5703125" style="1" bestFit="1" customWidth="1"/>
    <col min="4" max="4" width="16" style="1" bestFit="1" customWidth="1"/>
    <col min="5" max="5" width="56.28515625" style="1" bestFit="1" customWidth="1"/>
    <col min="6" max="16384" width="9.140625" style="1"/>
  </cols>
  <sheetData>
    <row r="2" spans="2:5" ht="14.25" customHeight="1" x14ac:dyDescent="0.25">
      <c r="B2" s="6" t="s">
        <v>0</v>
      </c>
      <c r="C2" s="6" t="s">
        <v>1</v>
      </c>
      <c r="D2" s="7">
        <v>2</v>
      </c>
      <c r="E2" s="6"/>
    </row>
    <row r="3" spans="2:5" ht="14.25" customHeight="1" x14ac:dyDescent="0.25">
      <c r="B3" s="6" t="s">
        <v>2</v>
      </c>
      <c r="C3" s="6" t="s">
        <v>3</v>
      </c>
      <c r="D3" s="7">
        <v>100</v>
      </c>
      <c r="E3" s="6"/>
    </row>
    <row r="4" spans="2:5" ht="14.25" customHeight="1" x14ac:dyDescent="0.25">
      <c r="B4" s="6" t="s">
        <v>4</v>
      </c>
      <c r="C4" s="6" t="s">
        <v>5</v>
      </c>
      <c r="D4" s="7">
        <v>100</v>
      </c>
      <c r="E4" s="6"/>
    </row>
    <row r="5" spans="2:5" ht="14.25" customHeight="1" x14ac:dyDescent="0.25">
      <c r="B5" s="6" t="s">
        <v>6</v>
      </c>
      <c r="C5" s="6" t="s">
        <v>3</v>
      </c>
      <c r="D5" s="7">
        <v>900</v>
      </c>
      <c r="E5" s="6"/>
    </row>
    <row r="6" spans="2:5" ht="14.25" customHeight="1" x14ac:dyDescent="0.25">
      <c r="B6" s="6" t="s">
        <v>8</v>
      </c>
      <c r="C6" s="6"/>
      <c r="D6" s="7">
        <v>23</v>
      </c>
      <c r="E6" s="6"/>
    </row>
    <row r="7" spans="2:5" ht="14.25" customHeight="1" x14ac:dyDescent="0.25">
      <c r="B7" s="6" t="s">
        <v>7</v>
      </c>
      <c r="C7" s="6"/>
      <c r="D7" s="8">
        <f>D6/28.96</f>
        <v>0.79419889502762431</v>
      </c>
      <c r="E7" s="6"/>
    </row>
    <row r="8" spans="2:5" ht="14.25" customHeight="1" x14ac:dyDescent="0.25">
      <c r="B8" s="6" t="s">
        <v>19</v>
      </c>
      <c r="C8" s="6"/>
      <c r="D8" s="11">
        <v>1.21</v>
      </c>
      <c r="E8" s="6" t="s">
        <v>70</v>
      </c>
    </row>
    <row r="9" spans="2:5" ht="14.25" customHeight="1" x14ac:dyDescent="0.25">
      <c r="B9" s="6"/>
      <c r="C9" s="6"/>
      <c r="D9" s="6"/>
      <c r="E9" s="6"/>
    </row>
    <row r="10" spans="2:5" ht="14.25" customHeight="1" x14ac:dyDescent="0.25">
      <c r="B10" s="6" t="s">
        <v>9</v>
      </c>
      <c r="C10" s="6"/>
      <c r="D10" s="8">
        <f>D5/D3</f>
        <v>9</v>
      </c>
      <c r="E10" s="6"/>
    </row>
    <row r="12" spans="2:5" ht="14.25" customHeight="1" x14ac:dyDescent="0.25">
      <c r="E12" s="38"/>
    </row>
    <row r="13" spans="2:5" ht="14.25" customHeight="1" x14ac:dyDescent="0.25">
      <c r="B13" s="6" t="s">
        <v>10</v>
      </c>
      <c r="C13" s="6"/>
      <c r="D13" s="7">
        <v>3</v>
      </c>
      <c r="E13" s="6" t="s">
        <v>12</v>
      </c>
    </row>
    <row r="14" spans="2:5" ht="14.25" customHeight="1" x14ac:dyDescent="0.25">
      <c r="B14" s="6" t="s">
        <v>71</v>
      </c>
      <c r="C14" s="6"/>
      <c r="D14" s="8">
        <f>IF(D13=1,D10,IF(D13=2,D10^(1/2),IF(D13=3,D10^(1/3),IF(D13=4,D10^(1/4),"ERROR"))))</f>
        <v>2.0800838230519041</v>
      </c>
      <c r="E14" s="6"/>
    </row>
    <row r="15" spans="2:5" ht="14.25" customHeight="1" x14ac:dyDescent="0.25">
      <c r="B15" s="6" t="s">
        <v>13</v>
      </c>
      <c r="C15" s="6" t="s">
        <v>3</v>
      </c>
      <c r="D15" s="8">
        <f>D3*D14</f>
        <v>208.00838230519042</v>
      </c>
      <c r="E15" s="6"/>
    </row>
    <row r="16" spans="2:5" ht="14.25" customHeight="1" x14ac:dyDescent="0.25">
      <c r="B16" s="6" t="s">
        <v>21</v>
      </c>
      <c r="C16" s="6" t="s">
        <v>5</v>
      </c>
      <c r="D16" s="11">
        <v>174</v>
      </c>
      <c r="E16" s="6" t="s">
        <v>22</v>
      </c>
    </row>
    <row r="17" spans="2:5" ht="14.25" customHeight="1" x14ac:dyDescent="0.25">
      <c r="B17" s="6"/>
      <c r="C17" s="6" t="s">
        <v>5</v>
      </c>
      <c r="D17" s="8">
        <f>(D4+460)*D14^((D8-1)/D8)-460</f>
        <v>175.90485262664572</v>
      </c>
      <c r="E17" s="6" t="s">
        <v>23</v>
      </c>
    </row>
    <row r="18" spans="2:5" ht="14.25" customHeight="1" x14ac:dyDescent="0.25">
      <c r="B18" s="6" t="s">
        <v>28</v>
      </c>
      <c r="C18" s="6" t="s">
        <v>5</v>
      </c>
      <c r="D18" s="8">
        <f>(D17+D4)/2</f>
        <v>137.95242631332286</v>
      </c>
      <c r="E18" s="6"/>
    </row>
    <row r="19" spans="2:5" ht="14.25" customHeight="1" x14ac:dyDescent="0.25">
      <c r="B19" s="19"/>
      <c r="C19" s="19"/>
      <c r="D19" s="20"/>
      <c r="E19" s="19"/>
    </row>
    <row r="20" spans="2:5" ht="14.25" customHeight="1" x14ac:dyDescent="0.25">
      <c r="B20" s="6" t="s">
        <v>24</v>
      </c>
      <c r="C20" s="6"/>
      <c r="D20" s="13" t="s">
        <v>25</v>
      </c>
      <c r="E20" s="6"/>
    </row>
    <row r="21" spans="2:5" ht="14.25" customHeight="1" x14ac:dyDescent="0.25">
      <c r="B21" s="6" t="s">
        <v>26</v>
      </c>
      <c r="C21" s="6" t="s">
        <v>5</v>
      </c>
      <c r="D21" s="7">
        <v>120</v>
      </c>
      <c r="E21" s="6"/>
    </row>
    <row r="22" spans="2:5" ht="14.25" customHeight="1" x14ac:dyDescent="0.25">
      <c r="B22" s="6" t="s">
        <v>14</v>
      </c>
      <c r="C22" s="6" t="s">
        <v>15</v>
      </c>
      <c r="D22" s="7">
        <v>5</v>
      </c>
      <c r="E22" s="6" t="s">
        <v>16</v>
      </c>
    </row>
    <row r="23" spans="2:5" ht="14.25" customHeight="1" x14ac:dyDescent="0.25">
      <c r="B23" s="6" t="s">
        <v>17</v>
      </c>
      <c r="C23" s="6" t="s">
        <v>3</v>
      </c>
      <c r="D23" s="8">
        <f>D15-D22</f>
        <v>203.00838230519042</v>
      </c>
      <c r="E23" s="6"/>
    </row>
    <row r="24" spans="2:5" ht="14.25" customHeight="1" x14ac:dyDescent="0.25">
      <c r="B24" s="6" t="s">
        <v>18</v>
      </c>
      <c r="C24" s="6"/>
      <c r="D24" s="8">
        <f>(D5/D23)^(1/2)</f>
        <v>2.1055437482719244</v>
      </c>
      <c r="E24" s="6"/>
    </row>
    <row r="25" spans="2:5" ht="14.25" customHeight="1" x14ac:dyDescent="0.25">
      <c r="B25" s="6" t="s">
        <v>30</v>
      </c>
      <c r="C25" s="6" t="s">
        <v>3</v>
      </c>
      <c r="D25" s="8">
        <f>D24*D23</f>
        <v>427.44303020949047</v>
      </c>
      <c r="E25" s="6"/>
    </row>
    <row r="26" spans="2:5" ht="14.25" customHeight="1" x14ac:dyDescent="0.25">
      <c r="B26" s="6" t="s">
        <v>27</v>
      </c>
      <c r="C26" s="6" t="s">
        <v>5</v>
      </c>
      <c r="D26" s="11">
        <v>196</v>
      </c>
      <c r="E26" s="6" t="s">
        <v>22</v>
      </c>
    </row>
    <row r="27" spans="2:5" ht="14.25" customHeight="1" x14ac:dyDescent="0.25">
      <c r="B27" s="6"/>
      <c r="C27" s="6" t="s">
        <v>5</v>
      </c>
      <c r="D27" s="8">
        <f>(D21+460)*(D24)^((D8-1)/D8)-460</f>
        <v>200.00779550418531</v>
      </c>
      <c r="E27" s="6" t="s">
        <v>23</v>
      </c>
    </row>
    <row r="28" spans="2:5" ht="14.25" customHeight="1" x14ac:dyDescent="0.25">
      <c r="B28" s="6" t="s">
        <v>28</v>
      </c>
      <c r="C28" s="6"/>
      <c r="D28" s="8">
        <f>(D27+D21)/2</f>
        <v>160.00389775209266</v>
      </c>
      <c r="E28" s="6" t="s">
        <v>29</v>
      </c>
    </row>
    <row r="29" spans="2:5" s="21" customFormat="1" ht="14.25" customHeight="1" x14ac:dyDescent="0.25">
      <c r="B29" s="19"/>
      <c r="C29" s="19"/>
      <c r="D29" s="15"/>
      <c r="E29" s="19"/>
    </row>
    <row r="30" spans="2:5" ht="14.25" customHeight="1" x14ac:dyDescent="0.25">
      <c r="B30" s="6" t="s">
        <v>24</v>
      </c>
      <c r="C30" s="6"/>
      <c r="D30" s="13" t="s">
        <v>25</v>
      </c>
      <c r="E30" s="6"/>
    </row>
    <row r="31" spans="2:5" ht="14.25" customHeight="1" x14ac:dyDescent="0.25">
      <c r="B31" s="6" t="s">
        <v>26</v>
      </c>
      <c r="C31" s="6" t="s">
        <v>5</v>
      </c>
      <c r="D31" s="7">
        <v>120</v>
      </c>
      <c r="E31" s="6"/>
    </row>
    <row r="32" spans="2:5" ht="14.25" customHeight="1" x14ac:dyDescent="0.25">
      <c r="B32" s="6" t="s">
        <v>14</v>
      </c>
      <c r="C32" s="6" t="s">
        <v>15</v>
      </c>
      <c r="D32" s="7">
        <v>5</v>
      </c>
      <c r="E32" s="6" t="s">
        <v>50</v>
      </c>
    </row>
    <row r="33" spans="2:5" ht="14.25" customHeight="1" x14ac:dyDescent="0.25">
      <c r="B33" s="6" t="s">
        <v>51</v>
      </c>
      <c r="C33" s="6" t="s">
        <v>3</v>
      </c>
      <c r="D33" s="8">
        <f>D25-D32</f>
        <v>422.44303020949047</v>
      </c>
      <c r="E33" s="6"/>
    </row>
    <row r="34" spans="2:5" ht="14.25" customHeight="1" x14ac:dyDescent="0.25">
      <c r="B34" s="6" t="s">
        <v>56</v>
      </c>
      <c r="C34" s="6"/>
      <c r="D34" s="8">
        <f>(D5/D33)</f>
        <v>2.130464786112551</v>
      </c>
      <c r="E34" s="6"/>
    </row>
    <row r="35" spans="2:5" ht="14.25" customHeight="1" x14ac:dyDescent="0.25">
      <c r="B35" s="6" t="s">
        <v>52</v>
      </c>
      <c r="C35" s="6" t="s">
        <v>3</v>
      </c>
      <c r="D35" s="8">
        <f>D34*D33</f>
        <v>900</v>
      </c>
      <c r="E35" s="6"/>
    </row>
    <row r="36" spans="2:5" ht="14.25" customHeight="1" x14ac:dyDescent="0.25">
      <c r="B36" s="6" t="s">
        <v>53</v>
      </c>
      <c r="C36" s="6" t="s">
        <v>5</v>
      </c>
      <c r="D36" s="11">
        <v>196</v>
      </c>
      <c r="E36" s="6" t="s">
        <v>22</v>
      </c>
    </row>
    <row r="37" spans="2:5" ht="14.25" customHeight="1" x14ac:dyDescent="0.25">
      <c r="B37" s="6"/>
      <c r="C37" s="6" t="s">
        <v>5</v>
      </c>
      <c r="D37" s="8">
        <f>(D31+460)*(D34)^((D8-1)/D8)-460</f>
        <v>201.35697833873144</v>
      </c>
      <c r="E37" s="6" t="s">
        <v>23</v>
      </c>
    </row>
    <row r="38" spans="2:5" ht="14.25" customHeight="1" x14ac:dyDescent="0.25">
      <c r="B38" s="6" t="s">
        <v>28</v>
      </c>
      <c r="C38" s="6"/>
      <c r="D38" s="8">
        <f>(D37+D31)/2</f>
        <v>160.67848916936572</v>
      </c>
      <c r="E38" s="6" t="s">
        <v>29</v>
      </c>
    </row>
    <row r="39" spans="2:5" ht="14.25" customHeight="1" x14ac:dyDescent="0.25">
      <c r="B39" s="4" t="s">
        <v>72</v>
      </c>
    </row>
    <row r="40" spans="2:5" ht="14.25" customHeight="1" x14ac:dyDescent="0.25">
      <c r="B40" s="6" t="s">
        <v>10</v>
      </c>
      <c r="C40" s="6"/>
      <c r="D40" s="7">
        <f>D13</f>
        <v>3</v>
      </c>
      <c r="E40" s="6" t="s">
        <v>12</v>
      </c>
    </row>
    <row r="41" spans="2:5" ht="14.25" customHeight="1" x14ac:dyDescent="0.25">
      <c r="B41" s="6" t="s">
        <v>2</v>
      </c>
      <c r="C41" s="6" t="s">
        <v>3</v>
      </c>
      <c r="D41" s="7">
        <f>D3</f>
        <v>100</v>
      </c>
      <c r="E41" s="6"/>
    </row>
    <row r="42" spans="2:5" ht="14.25" customHeight="1" x14ac:dyDescent="0.25">
      <c r="B42" s="6" t="s">
        <v>4</v>
      </c>
      <c r="C42" s="6" t="s">
        <v>5</v>
      </c>
      <c r="D42" s="7">
        <f>D4</f>
        <v>100</v>
      </c>
      <c r="E42" s="6"/>
    </row>
    <row r="43" spans="2:5" ht="14.25" customHeight="1" x14ac:dyDescent="0.25">
      <c r="B43" s="6" t="s">
        <v>13</v>
      </c>
      <c r="C43" s="6" t="s">
        <v>3</v>
      </c>
      <c r="D43" s="8">
        <f>D15</f>
        <v>208.00838230519042</v>
      </c>
      <c r="E43" s="6"/>
    </row>
    <row r="44" spans="2:5" ht="14.25" customHeight="1" x14ac:dyDescent="0.25">
      <c r="B44" s="6" t="s">
        <v>21</v>
      </c>
      <c r="C44" s="6" t="s">
        <v>5</v>
      </c>
      <c r="D44" s="8">
        <f>D17</f>
        <v>175.90485262664572</v>
      </c>
      <c r="E44" s="6" t="str">
        <f>E17</f>
        <v>Eq. 13.18 (Temperature in absolute R or K)</v>
      </c>
    </row>
    <row r="45" spans="2:5" ht="14.25" customHeight="1" x14ac:dyDescent="0.25">
      <c r="B45" s="6" t="s">
        <v>17</v>
      </c>
      <c r="C45" s="6" t="s">
        <v>3</v>
      </c>
      <c r="D45" s="8">
        <f>D23</f>
        <v>203.00838230519042</v>
      </c>
      <c r="E45" s="6"/>
    </row>
    <row r="46" spans="2:5" ht="14.25" customHeight="1" x14ac:dyDescent="0.25">
      <c r="B46" s="6" t="s">
        <v>30</v>
      </c>
      <c r="C46" s="6" t="s">
        <v>3</v>
      </c>
      <c r="D46" s="8">
        <f>D25</f>
        <v>427.44303020949047</v>
      </c>
      <c r="E46" s="6"/>
    </row>
    <row r="47" spans="2:5" ht="14.25" customHeight="1" x14ac:dyDescent="0.25">
      <c r="B47" s="6" t="s">
        <v>73</v>
      </c>
      <c r="C47" s="6" t="s">
        <v>5</v>
      </c>
      <c r="D47" s="8">
        <f>D21</f>
        <v>120</v>
      </c>
      <c r="E47" s="6" t="s">
        <v>74</v>
      </c>
    </row>
    <row r="48" spans="2:5" ht="14.25" customHeight="1" x14ac:dyDescent="0.25">
      <c r="B48" s="6" t="s">
        <v>27</v>
      </c>
      <c r="C48" s="6" t="s">
        <v>5</v>
      </c>
      <c r="D48" s="8">
        <f>D27</f>
        <v>200.00779550418531</v>
      </c>
      <c r="E48" s="6" t="str">
        <f>E27</f>
        <v>Eq. 13.18 (Temperature in absolute R or K)</v>
      </c>
    </row>
    <row r="49" spans="2:6" ht="14.25" customHeight="1" x14ac:dyDescent="0.25">
      <c r="B49" s="6" t="s">
        <v>51</v>
      </c>
      <c r="C49" s="6" t="s">
        <v>3</v>
      </c>
      <c r="D49" s="8">
        <f>D33</f>
        <v>422.44303020949047</v>
      </c>
      <c r="E49" s="6"/>
    </row>
    <row r="50" spans="2:6" ht="14.25" customHeight="1" x14ac:dyDescent="0.25">
      <c r="B50" s="6" t="s">
        <v>52</v>
      </c>
      <c r="C50" s="6" t="s">
        <v>3</v>
      </c>
      <c r="D50" s="8">
        <f>D35</f>
        <v>900</v>
      </c>
      <c r="E50" s="6"/>
    </row>
    <row r="51" spans="2:6" ht="14.25" customHeight="1" x14ac:dyDescent="0.25">
      <c r="B51" s="6" t="s">
        <v>75</v>
      </c>
      <c r="C51" s="6" t="s">
        <v>5</v>
      </c>
      <c r="D51" s="8">
        <f>D31</f>
        <v>120</v>
      </c>
      <c r="E51" s="6" t="s">
        <v>74</v>
      </c>
    </row>
    <row r="52" spans="2:6" ht="14.25" customHeight="1" x14ac:dyDescent="0.25">
      <c r="B52" s="6" t="s">
        <v>53</v>
      </c>
      <c r="C52" s="6" t="s">
        <v>5</v>
      </c>
      <c r="D52" s="8">
        <f>D37</f>
        <v>201.35697833873144</v>
      </c>
      <c r="E52" s="6" t="str">
        <f>E37</f>
        <v>Eq. 13.18 (Temperature in absolute R or K)</v>
      </c>
    </row>
    <row r="54" spans="2:6" ht="14.25" customHeight="1" x14ac:dyDescent="0.25">
      <c r="B54" s="6" t="s">
        <v>31</v>
      </c>
      <c r="C54" s="6"/>
      <c r="D54" s="15"/>
      <c r="E54" s="6"/>
    </row>
    <row r="55" spans="2:6" ht="14.25" customHeight="1" x14ac:dyDescent="0.25">
      <c r="B55" s="14" t="s">
        <v>32</v>
      </c>
      <c r="C55" s="6"/>
      <c r="D55" s="11">
        <v>0.98</v>
      </c>
      <c r="E55" s="6" t="str">
        <f>"At "&amp;D3&amp;" psia and "&amp;D4&amp;" F"&amp;" (Figure 23.7)"</f>
        <v>At 100 psia and 100 F (Figure 23.7)</v>
      </c>
      <c r="F55" s="1" t="s">
        <v>69</v>
      </c>
    </row>
    <row r="56" spans="2:6" ht="14.25" customHeight="1" x14ac:dyDescent="0.25">
      <c r="B56" s="14" t="s">
        <v>33</v>
      </c>
      <c r="C56" s="6"/>
      <c r="D56" s="11">
        <v>0.96</v>
      </c>
      <c r="E56" s="6" t="str">
        <f>"At "&amp;ROUND(D15,2)&amp;" psia and "&amp;ROUNDUP(D17,0)&amp;" F"&amp;" (Figure 23.7)"</f>
        <v>At 208.01 psia and 176 F (Figure 23.7)</v>
      </c>
      <c r="F56" s="1" t="s">
        <v>69</v>
      </c>
    </row>
    <row r="57" spans="2:6" ht="14.25" customHeight="1" x14ac:dyDescent="0.25">
      <c r="B57" s="14" t="s">
        <v>34</v>
      </c>
      <c r="C57" s="6"/>
      <c r="D57" s="8">
        <f>(D55+D56)/2</f>
        <v>0.97</v>
      </c>
      <c r="E57" s="6"/>
    </row>
    <row r="58" spans="2:6" ht="14.25" customHeight="1" x14ac:dyDescent="0.25">
      <c r="B58" s="6" t="s">
        <v>35</v>
      </c>
      <c r="C58" s="6"/>
      <c r="D58" s="15"/>
      <c r="E58" s="6"/>
    </row>
    <row r="59" spans="2:6" ht="14.25" customHeight="1" x14ac:dyDescent="0.25">
      <c r="B59" s="14" t="s">
        <v>32</v>
      </c>
      <c r="C59" s="6"/>
      <c r="D59" s="11">
        <v>0.95</v>
      </c>
      <c r="E59" s="6" t="str">
        <f>"At "&amp;ROUND(D45,2)&amp;" psia and "&amp;ROUNDUP(D21,0)&amp;" F"&amp;" (Figure 23.7)"</f>
        <v>At 203.01 psia and 120 F (Figure 23.7)</v>
      </c>
      <c r="F59" s="1" t="s">
        <v>69</v>
      </c>
    </row>
    <row r="60" spans="2:6" ht="14.25" customHeight="1" x14ac:dyDescent="0.25">
      <c r="B60" s="14" t="s">
        <v>33</v>
      </c>
      <c r="C60" s="6"/>
      <c r="D60" s="26">
        <v>0.93500000000000005</v>
      </c>
      <c r="E60" s="6" t="str">
        <f>"At "&amp;ROUND(D46,2)&amp;" psia and "&amp;ROUNDUP(D48,0)&amp;" F"&amp;" (Figure 23.7)"</f>
        <v>At 427.44 psia and 201 F (Figure 23.7)</v>
      </c>
      <c r="F60" s="1" t="s">
        <v>69</v>
      </c>
    </row>
    <row r="61" spans="2:6" ht="14.25" customHeight="1" x14ac:dyDescent="0.25">
      <c r="B61" s="14" t="s">
        <v>34</v>
      </c>
      <c r="C61" s="6"/>
      <c r="D61" s="25">
        <f>(D59+D60)/2</f>
        <v>0.9425</v>
      </c>
      <c r="E61" s="6"/>
    </row>
    <row r="62" spans="2:6" ht="14.25" customHeight="1" x14ac:dyDescent="0.25">
      <c r="B62" s="6" t="s">
        <v>54</v>
      </c>
      <c r="C62" s="6"/>
      <c r="D62" s="15"/>
      <c r="E62" s="6"/>
    </row>
    <row r="63" spans="2:6" ht="14.25" customHeight="1" x14ac:dyDescent="0.25">
      <c r="B63" s="14" t="s">
        <v>32</v>
      </c>
      <c r="C63" s="6"/>
      <c r="D63" s="11">
        <v>0.9</v>
      </c>
      <c r="E63" s="6" t="str">
        <f>"At "&amp;ROUND(D49,2)&amp;" psia and "&amp;ROUNDUP(D31,0)&amp;" F"&amp;" (Figure 23.7)"</f>
        <v>At 422.44 psia and 120 F (Figure 23.7)</v>
      </c>
      <c r="F63" s="1" t="s">
        <v>69</v>
      </c>
    </row>
    <row r="64" spans="2:6" ht="14.25" customHeight="1" x14ac:dyDescent="0.25">
      <c r="B64" s="14" t="s">
        <v>33</v>
      </c>
      <c r="C64" s="6"/>
      <c r="D64" s="11">
        <v>0.88</v>
      </c>
      <c r="E64" s="6" t="str">
        <f>"At "&amp;ROUND(D50,2)&amp;" psia and "&amp;ROUNDUP(D52,0)&amp;" F"&amp;" (Figure 23.7)"</f>
        <v>At 900 psia and 202 F (Figure 23.7)</v>
      </c>
      <c r="F64" s="1" t="s">
        <v>69</v>
      </c>
    </row>
    <row r="65" spans="2:17" ht="14.25" customHeight="1" x14ac:dyDescent="0.25">
      <c r="B65" s="14" t="s">
        <v>34</v>
      </c>
      <c r="C65" s="6"/>
      <c r="D65" s="8">
        <f>(D63+D64)/2</f>
        <v>0.89</v>
      </c>
      <c r="E65" s="6"/>
    </row>
    <row r="68" spans="2:17" ht="14.25" customHeight="1" x14ac:dyDescent="0.25">
      <c r="B68" s="16" t="s">
        <v>36</v>
      </c>
      <c r="C68" s="6" t="s">
        <v>37</v>
      </c>
      <c r="D68" s="11">
        <v>44.5</v>
      </c>
      <c r="E68" s="6" t="str">
        <f>"At compression ratio "&amp;ROUNDUP(D14,2)&amp;" and k factor "&amp;ROUNDUP(D8,2)&amp;" (Figure 13.12)"</f>
        <v>At compression ratio 2.09 and k factor 1.21 (Figure 13.12)</v>
      </c>
    </row>
    <row r="69" spans="2:17" ht="14.25" customHeight="1" x14ac:dyDescent="0.25">
      <c r="B69" s="16" t="s">
        <v>38</v>
      </c>
      <c r="C69" s="6" t="s">
        <v>37</v>
      </c>
      <c r="D69" s="11">
        <v>45</v>
      </c>
      <c r="E69" s="6" t="str">
        <f>"At compression ratio "&amp;ROUNDUP(D24,2)&amp;" and k factor "&amp;ROUNDUP(D8,2)&amp;" (Figure 13.12)"</f>
        <v>At compression ratio 2.11 and k factor 1.21 (Figure 13.12)</v>
      </c>
      <c r="Q69" s="1" t="s">
        <v>86</v>
      </c>
    </row>
    <row r="70" spans="2:17" ht="14.25" customHeight="1" x14ac:dyDescent="0.25">
      <c r="B70" s="16" t="s">
        <v>55</v>
      </c>
      <c r="C70" s="6" t="s">
        <v>37</v>
      </c>
      <c r="D70" s="11">
        <v>44</v>
      </c>
      <c r="E70" s="6" t="str">
        <f>"At compression ratio "&amp;ROUNDUP(D34,2)&amp;" and k factor "&amp;ROUNDUP(D8,2)&amp;" (Figure 13.12)"</f>
        <v>At compression ratio 2.14 and k factor 1.21 (Figure 13.12)</v>
      </c>
    </row>
    <row r="72" spans="2:17" ht="14.25" customHeight="1" x14ac:dyDescent="0.25">
      <c r="B72" s="16" t="s">
        <v>39</v>
      </c>
      <c r="C72" s="6"/>
      <c r="D72" s="11">
        <v>1</v>
      </c>
      <c r="E72" s="6" t="str">
        <f>"At compression ratio "&amp;ROUNDUP(D14,2)&amp;" and inlet temperature "&amp;ROUNDUP(D4,2)&amp;" F"&amp;" (Figure 13.14)"</f>
        <v>At compression ratio 2.09 and inlet temperature 100 F (Figure 13.14)</v>
      </c>
    </row>
    <row r="73" spans="2:17" ht="14.25" customHeight="1" x14ac:dyDescent="0.25">
      <c r="B73" s="16" t="s">
        <v>40</v>
      </c>
      <c r="C73" s="6"/>
      <c r="D73" s="11">
        <v>1</v>
      </c>
      <c r="E73" s="6" t="str">
        <f>"At compression ratio "&amp;ROUNDUP(D14,2)&amp;" and SG "&amp;ROUNDUP(D7,3)&amp;" (Figure 13.15)"</f>
        <v>At compression ratio 2.09 and SG 0.795 (Figure 13.15)</v>
      </c>
    </row>
    <row r="75" spans="2:17" ht="14.25" customHeight="1" x14ac:dyDescent="0.25">
      <c r="B75" s="16" t="s">
        <v>42</v>
      </c>
      <c r="C75" s="6" t="s">
        <v>3</v>
      </c>
      <c r="D75" s="17">
        <v>14.65</v>
      </c>
      <c r="E75" s="6"/>
    </row>
    <row r="76" spans="2:17" ht="14.25" customHeight="1" x14ac:dyDescent="0.25">
      <c r="B76" s="16" t="s">
        <v>43</v>
      </c>
      <c r="C76" s="6" t="s">
        <v>44</v>
      </c>
      <c r="D76" s="17">
        <f>60+460</f>
        <v>520</v>
      </c>
      <c r="E76" s="6"/>
    </row>
    <row r="78" spans="2:17" ht="14.25" customHeight="1" x14ac:dyDescent="0.25">
      <c r="B78" s="16" t="s">
        <v>45</v>
      </c>
      <c r="C78" s="16" t="s">
        <v>48</v>
      </c>
      <c r="D78" s="8">
        <f>D68*(D75/14.4)*(D4+460)/(D76)*D57*D2*D72*D73</f>
        <v>94.584845085470093</v>
      </c>
      <c r="E78" s="6"/>
    </row>
    <row r="79" spans="2:17" ht="14.25" customHeight="1" x14ac:dyDescent="0.25">
      <c r="B79" s="16" t="s">
        <v>46</v>
      </c>
      <c r="C79" s="16" t="s">
        <v>48</v>
      </c>
      <c r="D79" s="8">
        <f>D69*(D75/14.4)*(D21+460)/D76*D61*D2*D72*D73</f>
        <v>96.255078124999997</v>
      </c>
      <c r="E79" s="6"/>
    </row>
    <row r="80" spans="2:17" ht="14.25" customHeight="1" x14ac:dyDescent="0.25">
      <c r="B80" s="16" t="s">
        <v>57</v>
      </c>
      <c r="C80" s="16" t="s">
        <v>48</v>
      </c>
      <c r="D80" s="8">
        <f>D70*(D75/14.4)*(D31+460)/D76*D65*D2*D72*D73</f>
        <v>88.873536324786329</v>
      </c>
      <c r="E80" s="6"/>
    </row>
    <row r="81" spans="2:5" ht="14.25" customHeight="1" x14ac:dyDescent="0.25">
      <c r="B81" s="16" t="s">
        <v>47</v>
      </c>
      <c r="C81" s="16" t="s">
        <v>48</v>
      </c>
      <c r="D81" s="8">
        <f>D79+D78+D80</f>
        <v>279.71345953525645</v>
      </c>
      <c r="E81" s="14"/>
    </row>
    <row r="82" spans="2:5" ht="12.75" x14ac:dyDescent="0.25">
      <c r="B82" s="18"/>
      <c r="D82" s="27">
        <f>(297.53-D81)/D81</f>
        <v>6.3695685199938845E-2</v>
      </c>
    </row>
    <row r="83" spans="2:5" ht="14.25" customHeight="1" x14ac:dyDescent="0.25">
      <c r="E83" s="1" t="s">
        <v>49</v>
      </c>
    </row>
    <row r="89" spans="2:5" ht="14.25" customHeight="1" x14ac:dyDescent="0.25">
      <c r="B89" s="1" t="s">
        <v>76</v>
      </c>
    </row>
    <row r="113" spans="2:2" ht="14.25" customHeight="1" x14ac:dyDescent="0.25">
      <c r="B113" s="1" t="s">
        <v>77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1581-5864-4DD5-9F76-3D9F20D66B91}">
  <sheetPr>
    <tabColor rgb="FF00B0F0"/>
  </sheetPr>
  <dimension ref="A2:F104"/>
  <sheetViews>
    <sheetView showGridLines="0" tabSelected="1" zoomScale="95" zoomScaleNormal="95" workbookViewId="0">
      <selection activeCell="E143" sqref="E143"/>
    </sheetView>
  </sheetViews>
  <sheetFormatPr defaultRowHeight="14.25" customHeight="1" x14ac:dyDescent="0.25"/>
  <cols>
    <col min="1" max="1" width="9.140625" style="1"/>
    <col min="2" max="2" width="33.140625" style="1" bestFit="1" customWidth="1"/>
    <col min="3" max="3" width="10.42578125" style="1" bestFit="1" customWidth="1"/>
    <col min="4" max="4" width="16" style="1" bestFit="1" customWidth="1"/>
    <col min="5" max="5" width="56.28515625" style="1" bestFit="1" customWidth="1"/>
    <col min="6" max="16384" width="9.140625" style="1"/>
  </cols>
  <sheetData>
    <row r="2" spans="2:5" ht="14.25" customHeight="1" x14ac:dyDescent="0.25">
      <c r="B2" s="6" t="s">
        <v>0</v>
      </c>
      <c r="C2" s="6" t="s">
        <v>1</v>
      </c>
      <c r="D2" s="7">
        <v>2</v>
      </c>
      <c r="E2" s="6"/>
    </row>
    <row r="3" spans="2:5" ht="14.25" customHeight="1" x14ac:dyDescent="0.25">
      <c r="B3" s="6" t="s">
        <v>2</v>
      </c>
      <c r="C3" s="6" t="s">
        <v>3</v>
      </c>
      <c r="D3" s="7">
        <v>100</v>
      </c>
      <c r="E3" s="6"/>
    </row>
    <row r="4" spans="2:5" ht="14.25" customHeight="1" x14ac:dyDescent="0.25">
      <c r="B4" s="6" t="s">
        <v>4</v>
      </c>
      <c r="C4" s="6" t="s">
        <v>5</v>
      </c>
      <c r="D4" s="7">
        <v>100</v>
      </c>
      <c r="E4" s="6"/>
    </row>
    <row r="5" spans="2:5" ht="14.25" customHeight="1" x14ac:dyDescent="0.25">
      <c r="B5" s="6" t="s">
        <v>6</v>
      </c>
      <c r="C5" s="6" t="s">
        <v>3</v>
      </c>
      <c r="D5" s="7">
        <v>900</v>
      </c>
      <c r="E5" s="6"/>
    </row>
    <row r="6" spans="2:5" ht="14.25" customHeight="1" x14ac:dyDescent="0.25">
      <c r="B6" s="6" t="s">
        <v>8</v>
      </c>
      <c r="C6" s="6"/>
      <c r="D6" s="7">
        <v>23</v>
      </c>
      <c r="E6" s="6"/>
    </row>
    <row r="7" spans="2:5" ht="14.25" customHeight="1" x14ac:dyDescent="0.25">
      <c r="B7" s="6" t="s">
        <v>7</v>
      </c>
      <c r="C7" s="6"/>
      <c r="D7" s="8">
        <f>D6/28.96</f>
        <v>0.79419889502762431</v>
      </c>
      <c r="E7" s="6"/>
    </row>
    <row r="8" spans="2:5" ht="14.25" customHeight="1" x14ac:dyDescent="0.25">
      <c r="B8" s="6" t="s">
        <v>19</v>
      </c>
      <c r="C8" s="6"/>
      <c r="D8" s="11">
        <v>1.21</v>
      </c>
      <c r="E8" s="6" t="s">
        <v>20</v>
      </c>
    </row>
    <row r="9" spans="2:5" ht="14.25" customHeight="1" x14ac:dyDescent="0.25">
      <c r="B9" s="6"/>
      <c r="C9" s="6"/>
      <c r="D9" s="6"/>
      <c r="E9" s="6"/>
    </row>
    <row r="10" spans="2:5" ht="14.25" customHeight="1" x14ac:dyDescent="0.25">
      <c r="B10" s="6" t="s">
        <v>9</v>
      </c>
      <c r="C10" s="6"/>
      <c r="D10" s="9">
        <f>D5/D3</f>
        <v>9</v>
      </c>
      <c r="E10" s="6"/>
    </row>
    <row r="13" spans="2:5" ht="14.25" customHeight="1" x14ac:dyDescent="0.25">
      <c r="B13" s="6" t="s">
        <v>10</v>
      </c>
      <c r="C13" s="6"/>
      <c r="D13" s="7">
        <v>4</v>
      </c>
      <c r="E13" s="6" t="s">
        <v>12</v>
      </c>
    </row>
    <row r="14" spans="2:5" ht="14.25" customHeight="1" x14ac:dyDescent="0.25">
      <c r="B14" s="6" t="s">
        <v>11</v>
      </c>
      <c r="C14" s="6"/>
      <c r="D14" s="8">
        <f>IF(D13=1,D10,IF(D13=2,D10^(1/2),IF(D13=3,D10^(1/3),IF(D13=4,D10^(1/4),"ERROR"))))</f>
        <v>1.7320508075688774</v>
      </c>
      <c r="E14" s="6"/>
    </row>
    <row r="15" spans="2:5" ht="14.25" customHeight="1" x14ac:dyDescent="0.25">
      <c r="B15" s="6" t="s">
        <v>13</v>
      </c>
      <c r="C15" s="6" t="s">
        <v>3</v>
      </c>
      <c r="D15" s="8">
        <f>D3*D14</f>
        <v>173.20508075688775</v>
      </c>
      <c r="E15" s="6"/>
    </row>
    <row r="16" spans="2:5" ht="14.25" customHeight="1" x14ac:dyDescent="0.25">
      <c r="B16" s="6" t="s">
        <v>21</v>
      </c>
      <c r="C16" s="6" t="s">
        <v>5</v>
      </c>
      <c r="D16" s="11">
        <v>164</v>
      </c>
      <c r="E16" s="6" t="s">
        <v>22</v>
      </c>
    </row>
    <row r="17" spans="2:5" ht="14.25" customHeight="1" x14ac:dyDescent="0.25">
      <c r="B17" s="6"/>
      <c r="C17" s="6" t="s">
        <v>5</v>
      </c>
      <c r="D17" s="8">
        <f>(D4+460)*D14^((D8-1)/D8)-460</f>
        <v>156.01474993865622</v>
      </c>
      <c r="E17" s="6" t="s">
        <v>23</v>
      </c>
    </row>
    <row r="18" spans="2:5" ht="14.25" customHeight="1" x14ac:dyDescent="0.25">
      <c r="B18" s="6" t="s">
        <v>28</v>
      </c>
      <c r="C18" s="6" t="s">
        <v>5</v>
      </c>
      <c r="D18" s="12">
        <f>(D17+D4)/2</f>
        <v>128.00737496932811</v>
      </c>
      <c r="E18" s="6"/>
    </row>
    <row r="19" spans="2:5" ht="14.25" customHeight="1" x14ac:dyDescent="0.25">
      <c r="B19" s="19"/>
      <c r="C19" s="19"/>
      <c r="D19" s="20"/>
      <c r="E19" s="19"/>
    </row>
    <row r="20" spans="2:5" ht="14.25" customHeight="1" x14ac:dyDescent="0.25">
      <c r="B20" s="6" t="s">
        <v>24</v>
      </c>
      <c r="C20" s="6"/>
      <c r="D20" s="13" t="s">
        <v>25</v>
      </c>
      <c r="E20" s="6"/>
    </row>
    <row r="21" spans="2:5" ht="14.25" customHeight="1" x14ac:dyDescent="0.25">
      <c r="B21" s="6" t="s">
        <v>26</v>
      </c>
      <c r="C21" s="6" t="s">
        <v>5</v>
      </c>
      <c r="D21" s="7">
        <v>120</v>
      </c>
      <c r="E21" s="6"/>
    </row>
    <row r="22" spans="2:5" ht="14.25" customHeight="1" x14ac:dyDescent="0.25">
      <c r="B22" s="6" t="s">
        <v>14</v>
      </c>
      <c r="C22" s="6" t="s">
        <v>15</v>
      </c>
      <c r="D22" s="7">
        <v>5</v>
      </c>
      <c r="E22" s="6" t="s">
        <v>16</v>
      </c>
    </row>
    <row r="23" spans="2:5" ht="14.25" customHeight="1" x14ac:dyDescent="0.25">
      <c r="B23" s="6" t="s">
        <v>17</v>
      </c>
      <c r="C23" s="6" t="s">
        <v>3</v>
      </c>
      <c r="D23" s="8">
        <f>D15-D22</f>
        <v>168.20508075688775</v>
      </c>
      <c r="E23" s="6"/>
    </row>
    <row r="24" spans="2:5" ht="14.25" customHeight="1" x14ac:dyDescent="0.25">
      <c r="B24" s="6" t="s">
        <v>18</v>
      </c>
      <c r="C24" s="6"/>
      <c r="D24" s="8">
        <f>(D5/D23)^(1/3)</f>
        <v>1.7490456037243902</v>
      </c>
      <c r="E24" s="6"/>
    </row>
    <row r="25" spans="2:5" ht="14.25" customHeight="1" x14ac:dyDescent="0.25">
      <c r="B25" s="6" t="s">
        <v>30</v>
      </c>
      <c r="C25" s="6" t="s">
        <v>3</v>
      </c>
      <c r="D25" s="8">
        <f>D24*D23</f>
        <v>294.19835702194052</v>
      </c>
      <c r="E25" s="6"/>
    </row>
    <row r="26" spans="2:5" ht="14.25" customHeight="1" x14ac:dyDescent="0.25">
      <c r="B26" s="6" t="s">
        <v>27</v>
      </c>
      <c r="C26" s="6" t="s">
        <v>5</v>
      </c>
      <c r="D26" s="11">
        <v>186</v>
      </c>
      <c r="E26" s="6" t="s">
        <v>22</v>
      </c>
    </row>
    <row r="27" spans="2:5" ht="14.25" customHeight="1" x14ac:dyDescent="0.25">
      <c r="B27" s="6"/>
      <c r="C27" s="6" t="s">
        <v>5</v>
      </c>
      <c r="D27" s="8">
        <f>(D21+460)*(D24)^((D8-1)/D8)-460</f>
        <v>179.09737420336887</v>
      </c>
      <c r="E27" s="6" t="s">
        <v>23</v>
      </c>
    </row>
    <row r="28" spans="2:5" ht="14.25" customHeight="1" x14ac:dyDescent="0.25">
      <c r="B28" s="6" t="s">
        <v>28</v>
      </c>
      <c r="C28" s="6"/>
      <c r="D28" s="8">
        <f>(D27+D21)/2</f>
        <v>149.54868710168444</v>
      </c>
      <c r="E28" s="6" t="s">
        <v>29</v>
      </c>
    </row>
    <row r="29" spans="2:5" s="21" customFormat="1" ht="14.25" customHeight="1" x14ac:dyDescent="0.25">
      <c r="B29" s="19"/>
      <c r="C29" s="19"/>
      <c r="D29" s="15"/>
      <c r="E29" s="19"/>
    </row>
    <row r="30" spans="2:5" ht="14.25" customHeight="1" x14ac:dyDescent="0.25">
      <c r="B30" s="6" t="s">
        <v>24</v>
      </c>
      <c r="C30" s="6"/>
      <c r="D30" s="13" t="s">
        <v>25</v>
      </c>
      <c r="E30" s="6"/>
    </row>
    <row r="31" spans="2:5" ht="14.25" customHeight="1" x14ac:dyDescent="0.25">
      <c r="B31" s="6" t="s">
        <v>26</v>
      </c>
      <c r="C31" s="6" t="s">
        <v>5</v>
      </c>
      <c r="D31" s="7">
        <v>120</v>
      </c>
      <c r="E31" s="6"/>
    </row>
    <row r="32" spans="2:5" ht="14.25" customHeight="1" x14ac:dyDescent="0.25">
      <c r="B32" s="6" t="s">
        <v>14</v>
      </c>
      <c r="C32" s="6" t="s">
        <v>15</v>
      </c>
      <c r="D32" s="7">
        <v>5</v>
      </c>
      <c r="E32" s="6" t="s">
        <v>50</v>
      </c>
    </row>
    <row r="33" spans="2:5" ht="14.25" customHeight="1" x14ac:dyDescent="0.25">
      <c r="B33" s="6" t="s">
        <v>51</v>
      </c>
      <c r="C33" s="6" t="s">
        <v>3</v>
      </c>
      <c r="D33" s="8">
        <f>D25-D32</f>
        <v>289.19835702194052</v>
      </c>
      <c r="E33" s="6"/>
    </row>
    <row r="34" spans="2:5" ht="14.25" customHeight="1" x14ac:dyDescent="0.25">
      <c r="B34" s="6" t="s">
        <v>56</v>
      </c>
      <c r="C34" s="6"/>
      <c r="D34" s="8">
        <f>(D5/D33)^(1/2)</f>
        <v>1.7641005852658642</v>
      </c>
      <c r="E34" s="6"/>
    </row>
    <row r="35" spans="2:5" ht="14.25" customHeight="1" x14ac:dyDescent="0.25">
      <c r="B35" s="6" t="s">
        <v>52</v>
      </c>
      <c r="C35" s="6" t="s">
        <v>3</v>
      </c>
      <c r="D35" s="8">
        <f>D34*D33</f>
        <v>510.17499088033162</v>
      </c>
      <c r="E35" s="6"/>
    </row>
    <row r="36" spans="2:5" ht="14.25" customHeight="1" x14ac:dyDescent="0.25">
      <c r="B36" s="6" t="s">
        <v>53</v>
      </c>
      <c r="C36" s="6" t="s">
        <v>5</v>
      </c>
      <c r="D36" s="11">
        <v>186</v>
      </c>
      <c r="E36" s="6" t="s">
        <v>22</v>
      </c>
    </row>
    <row r="37" spans="2:5" ht="14.25" customHeight="1" x14ac:dyDescent="0.25">
      <c r="B37" s="6"/>
      <c r="C37" s="6" t="s">
        <v>5</v>
      </c>
      <c r="D37" s="8">
        <f>(D31+460)*(D34)^((D8-1)/D8)-460</f>
        <v>180.04872494031099</v>
      </c>
      <c r="E37" s="6" t="s">
        <v>23</v>
      </c>
    </row>
    <row r="38" spans="2:5" ht="14.25" customHeight="1" x14ac:dyDescent="0.25">
      <c r="B38" s="6" t="s">
        <v>28</v>
      </c>
      <c r="C38" s="6"/>
      <c r="D38" s="8">
        <f>(D37+D31)/2</f>
        <v>150.02436247015549</v>
      </c>
      <c r="E38" s="6" t="s">
        <v>29</v>
      </c>
    </row>
    <row r="40" spans="2:5" ht="14.25" customHeight="1" x14ac:dyDescent="0.25">
      <c r="B40" s="6" t="s">
        <v>24</v>
      </c>
      <c r="C40" s="6"/>
      <c r="D40" s="13" t="s">
        <v>25</v>
      </c>
      <c r="E40" s="6"/>
    </row>
    <row r="41" spans="2:5" ht="14.25" customHeight="1" x14ac:dyDescent="0.25">
      <c r="B41" s="6" t="s">
        <v>26</v>
      </c>
      <c r="C41" s="6" t="s">
        <v>5</v>
      </c>
      <c r="D41" s="7">
        <v>120</v>
      </c>
      <c r="E41" s="6"/>
    </row>
    <row r="42" spans="2:5" ht="14.25" customHeight="1" x14ac:dyDescent="0.25">
      <c r="B42" s="6" t="s">
        <v>14</v>
      </c>
      <c r="C42" s="6" t="s">
        <v>15</v>
      </c>
      <c r="D42" s="7">
        <v>5</v>
      </c>
      <c r="E42" s="6" t="s">
        <v>61</v>
      </c>
    </row>
    <row r="43" spans="2:5" ht="14.25" customHeight="1" x14ac:dyDescent="0.25">
      <c r="B43" s="6" t="s">
        <v>58</v>
      </c>
      <c r="C43" s="6" t="s">
        <v>3</v>
      </c>
      <c r="D43" s="8">
        <f>D35-D42</f>
        <v>505.17499088033162</v>
      </c>
      <c r="E43" s="6"/>
    </row>
    <row r="44" spans="2:5" ht="14.25" customHeight="1" x14ac:dyDescent="0.25">
      <c r="B44" s="6" t="s">
        <v>63</v>
      </c>
      <c r="C44" s="6"/>
      <c r="D44" s="8">
        <f>(D5/D43)</f>
        <v>1.7815608774132616</v>
      </c>
      <c r="E44" s="6"/>
    </row>
    <row r="45" spans="2:5" ht="14.25" customHeight="1" x14ac:dyDescent="0.25">
      <c r="B45" s="6" t="s">
        <v>59</v>
      </c>
      <c r="C45" s="6" t="s">
        <v>3</v>
      </c>
      <c r="D45" s="8">
        <f>D44*D43</f>
        <v>900</v>
      </c>
      <c r="E45" s="6"/>
    </row>
    <row r="46" spans="2:5" ht="14.25" customHeight="1" x14ac:dyDescent="0.25">
      <c r="B46" s="6" t="s">
        <v>60</v>
      </c>
      <c r="C46" s="6" t="s">
        <v>5</v>
      </c>
      <c r="D46" s="11">
        <v>184</v>
      </c>
      <c r="E46" s="6" t="s">
        <v>22</v>
      </c>
    </row>
    <row r="47" spans="2:5" ht="14.25" customHeight="1" x14ac:dyDescent="0.25">
      <c r="B47" s="6"/>
      <c r="C47" s="6" t="s">
        <v>5</v>
      </c>
      <c r="D47" s="8">
        <f>(D41+460)*(D44)^((D8-1)/D8)-460</f>
        <v>181.14370429768701</v>
      </c>
      <c r="E47" s="6" t="s">
        <v>23</v>
      </c>
    </row>
    <row r="48" spans="2:5" ht="14.25" customHeight="1" x14ac:dyDescent="0.25">
      <c r="B48" s="6" t="s">
        <v>28</v>
      </c>
      <c r="C48" s="6"/>
      <c r="D48" s="8">
        <f>(D47+D41)/2</f>
        <v>150.5718521488435</v>
      </c>
      <c r="E48" s="6" t="s">
        <v>29</v>
      </c>
    </row>
    <row r="49" spans="2:5" s="10" customFormat="1" ht="14.25" customHeight="1" x14ac:dyDescent="0.25">
      <c r="B49" s="22"/>
      <c r="C49" s="22"/>
      <c r="D49" s="23"/>
      <c r="E49" s="22"/>
    </row>
    <row r="50" spans="2:5" ht="14.25" customHeight="1" x14ac:dyDescent="0.25">
      <c r="B50" s="6" t="s">
        <v>10</v>
      </c>
      <c r="C50" s="6"/>
      <c r="D50" s="7">
        <f>D13</f>
        <v>4</v>
      </c>
      <c r="E50" s="6" t="s">
        <v>12</v>
      </c>
    </row>
    <row r="51" spans="2:5" ht="14.25" customHeight="1" x14ac:dyDescent="0.25">
      <c r="B51" s="6" t="s">
        <v>2</v>
      </c>
      <c r="C51" s="6" t="s">
        <v>3</v>
      </c>
      <c r="D51" s="7">
        <f>D3</f>
        <v>100</v>
      </c>
      <c r="E51" s="6"/>
    </row>
    <row r="52" spans="2:5" ht="14.25" customHeight="1" x14ac:dyDescent="0.25">
      <c r="B52" s="6" t="s">
        <v>4</v>
      </c>
      <c r="C52" s="6" t="s">
        <v>5</v>
      </c>
      <c r="D52" s="7">
        <f>D4</f>
        <v>100</v>
      </c>
      <c r="E52" s="6"/>
    </row>
    <row r="53" spans="2:5" ht="14.25" customHeight="1" x14ac:dyDescent="0.25">
      <c r="B53" s="6" t="s">
        <v>13</v>
      </c>
      <c r="C53" s="6" t="s">
        <v>3</v>
      </c>
      <c r="D53" s="8">
        <f>D15</f>
        <v>173.20508075688775</v>
      </c>
      <c r="E53" s="6"/>
    </row>
    <row r="54" spans="2:5" ht="14.25" customHeight="1" x14ac:dyDescent="0.25">
      <c r="B54" s="6" t="s">
        <v>21</v>
      </c>
      <c r="C54" s="6" t="s">
        <v>5</v>
      </c>
      <c r="D54" s="8">
        <f>D17</f>
        <v>156.01474993865622</v>
      </c>
      <c r="E54" s="6" t="str">
        <f>E17</f>
        <v>Eq. 13.18 (Temperature in absolute R or K)</v>
      </c>
    </row>
    <row r="55" spans="2:5" ht="14.25" customHeight="1" x14ac:dyDescent="0.25">
      <c r="B55" s="6" t="s">
        <v>17</v>
      </c>
      <c r="C55" s="6" t="s">
        <v>3</v>
      </c>
      <c r="D55" s="8">
        <f>D23</f>
        <v>168.20508075688775</v>
      </c>
      <c r="E55" s="6"/>
    </row>
    <row r="56" spans="2:5" ht="14.25" customHeight="1" x14ac:dyDescent="0.25">
      <c r="B56" s="6" t="s">
        <v>30</v>
      </c>
      <c r="C56" s="6" t="s">
        <v>3</v>
      </c>
      <c r="D56" s="8">
        <f>D25</f>
        <v>294.19835702194052</v>
      </c>
      <c r="E56" s="6"/>
    </row>
    <row r="57" spans="2:5" ht="14.25" customHeight="1" x14ac:dyDescent="0.25">
      <c r="B57" s="6" t="s">
        <v>73</v>
      </c>
      <c r="C57" s="6" t="s">
        <v>5</v>
      </c>
      <c r="D57" s="8">
        <f>D21</f>
        <v>120</v>
      </c>
      <c r="E57" s="6" t="s">
        <v>74</v>
      </c>
    </row>
    <row r="58" spans="2:5" ht="14.25" customHeight="1" x14ac:dyDescent="0.25">
      <c r="B58" s="6" t="s">
        <v>27</v>
      </c>
      <c r="C58" s="6" t="s">
        <v>5</v>
      </c>
      <c r="D58" s="8">
        <f>D26</f>
        <v>186</v>
      </c>
      <c r="E58" s="6" t="str">
        <f>E27</f>
        <v>Eq. 13.18 (Temperature in absolute R or K)</v>
      </c>
    </row>
    <row r="59" spans="2:5" ht="14.25" customHeight="1" x14ac:dyDescent="0.25">
      <c r="B59" s="6" t="s">
        <v>51</v>
      </c>
      <c r="C59" s="6" t="s">
        <v>3</v>
      </c>
      <c r="D59" s="8">
        <f>D33</f>
        <v>289.19835702194052</v>
      </c>
      <c r="E59" s="6"/>
    </row>
    <row r="60" spans="2:5" ht="14.25" customHeight="1" x14ac:dyDescent="0.25">
      <c r="B60" s="6" t="s">
        <v>52</v>
      </c>
      <c r="C60" s="6" t="s">
        <v>3</v>
      </c>
      <c r="D60" s="8">
        <f>D35</f>
        <v>510.17499088033162</v>
      </c>
      <c r="E60" s="6"/>
    </row>
    <row r="61" spans="2:5" ht="14.25" customHeight="1" x14ac:dyDescent="0.25">
      <c r="B61" s="6" t="s">
        <v>75</v>
      </c>
      <c r="C61" s="6" t="s">
        <v>5</v>
      </c>
      <c r="D61" s="8">
        <f>D31</f>
        <v>120</v>
      </c>
      <c r="E61" s="6" t="s">
        <v>74</v>
      </c>
    </row>
    <row r="62" spans="2:5" ht="14.25" customHeight="1" x14ac:dyDescent="0.25">
      <c r="B62" s="6" t="s">
        <v>53</v>
      </c>
      <c r="C62" s="6" t="s">
        <v>5</v>
      </c>
      <c r="D62" s="8">
        <f>D37</f>
        <v>180.04872494031099</v>
      </c>
      <c r="E62" s="6" t="str">
        <f>E37</f>
        <v>Eq. 13.18 (Temperature in absolute R or K)</v>
      </c>
    </row>
    <row r="63" spans="2:5" ht="14.25" customHeight="1" x14ac:dyDescent="0.25">
      <c r="B63" s="6" t="s">
        <v>58</v>
      </c>
      <c r="C63" s="6" t="s">
        <v>3</v>
      </c>
      <c r="D63" s="8">
        <f>D43</f>
        <v>505.17499088033162</v>
      </c>
      <c r="E63" s="6"/>
    </row>
    <row r="64" spans="2:5" ht="14.25" customHeight="1" x14ac:dyDescent="0.25">
      <c r="B64" s="6" t="s">
        <v>59</v>
      </c>
      <c r="C64" s="6" t="s">
        <v>3</v>
      </c>
      <c r="D64" s="8">
        <f>D45</f>
        <v>900</v>
      </c>
      <c r="E64" s="6"/>
    </row>
    <row r="65" spans="2:6" ht="14.25" customHeight="1" x14ac:dyDescent="0.25">
      <c r="B65" s="6" t="s">
        <v>79</v>
      </c>
      <c r="C65" s="6" t="s">
        <v>5</v>
      </c>
      <c r="D65" s="8">
        <f>D41</f>
        <v>120</v>
      </c>
      <c r="E65" s="6" t="s">
        <v>74</v>
      </c>
    </row>
    <row r="66" spans="2:6" ht="14.25" customHeight="1" x14ac:dyDescent="0.25">
      <c r="B66" s="6" t="s">
        <v>60</v>
      </c>
      <c r="C66" s="6" t="s">
        <v>5</v>
      </c>
      <c r="D66" s="8">
        <f>D47</f>
        <v>181.14370429768701</v>
      </c>
      <c r="E66" s="6" t="str">
        <f>E47</f>
        <v>Eq. 13.18 (Temperature in absolute R or K)</v>
      </c>
    </row>
    <row r="68" spans="2:6" ht="14.25" customHeight="1" x14ac:dyDescent="0.25">
      <c r="B68" s="6" t="s">
        <v>31</v>
      </c>
      <c r="C68" s="6"/>
      <c r="D68" s="15"/>
      <c r="E68" s="6"/>
    </row>
    <row r="69" spans="2:6" ht="14.25" customHeight="1" x14ac:dyDescent="0.25">
      <c r="B69" s="14" t="s">
        <v>32</v>
      </c>
      <c r="C69" s="6"/>
      <c r="D69" s="11">
        <v>0.98</v>
      </c>
      <c r="E69" s="6" t="str">
        <f>"At "&amp;D3&amp;" psia and "&amp;D4&amp;" F"&amp;" (Figure 23.7)"</f>
        <v>At 100 psia and 100 F (Figure 23.7)</v>
      </c>
      <c r="F69" s="1" t="s">
        <v>69</v>
      </c>
    </row>
    <row r="70" spans="2:6" ht="14.25" customHeight="1" x14ac:dyDescent="0.25">
      <c r="B70" s="14" t="s">
        <v>33</v>
      </c>
      <c r="C70" s="6"/>
      <c r="D70" s="11">
        <v>0.95</v>
      </c>
      <c r="E70" s="6" t="str">
        <f>"At "&amp;ROUND(D15,2)&amp;" psia and "&amp;ROUNDUP(D17,0)&amp;" F"&amp;" (Figure 23.7)"</f>
        <v>At 173.21 psia and 157 F (Figure 23.7)</v>
      </c>
      <c r="F70" s="1" t="s">
        <v>69</v>
      </c>
    </row>
    <row r="71" spans="2:6" ht="14.25" customHeight="1" x14ac:dyDescent="0.25">
      <c r="B71" s="14" t="s">
        <v>34</v>
      </c>
      <c r="C71" s="6"/>
      <c r="D71" s="8">
        <f>(D69+D70)/2</f>
        <v>0.96499999999999997</v>
      </c>
      <c r="E71" s="6"/>
    </row>
    <row r="72" spans="2:6" ht="14.25" customHeight="1" x14ac:dyDescent="0.25">
      <c r="B72" s="6" t="s">
        <v>35</v>
      </c>
      <c r="C72" s="6"/>
      <c r="D72" s="15"/>
      <c r="E72" s="6"/>
    </row>
    <row r="73" spans="2:6" ht="14.25" customHeight="1" x14ac:dyDescent="0.25">
      <c r="B73" s="14" t="s">
        <v>32</v>
      </c>
      <c r="C73" s="6"/>
      <c r="D73" s="11">
        <v>0.96499999999999997</v>
      </c>
      <c r="E73" s="6" t="str">
        <f>"At "&amp;ROUND(D55,2)&amp;" psia and "&amp;ROUNDUP(D21,0)&amp;" F"&amp;" (Figure 23.7)"</f>
        <v>At 168.21 psia and 120 F (Figure 23.7)</v>
      </c>
      <c r="F73" s="1" t="s">
        <v>69</v>
      </c>
    </row>
    <row r="74" spans="2:6" ht="14.25" customHeight="1" x14ac:dyDescent="0.25">
      <c r="B74" s="14" t="s">
        <v>33</v>
      </c>
      <c r="C74" s="6"/>
      <c r="D74" s="11">
        <v>0.94499999999999995</v>
      </c>
      <c r="E74" s="6" t="str">
        <f>"At "&amp;ROUND(D56,2)&amp;" psia and "&amp;ROUNDUP(D58,0)&amp;" F"&amp;" (Figure 23.7)"</f>
        <v>At 294.2 psia and 186 F (Figure 23.7)</v>
      </c>
      <c r="F74" s="1" t="s">
        <v>69</v>
      </c>
    </row>
    <row r="75" spans="2:6" ht="14.25" customHeight="1" x14ac:dyDescent="0.25">
      <c r="B75" s="14" t="s">
        <v>34</v>
      </c>
      <c r="C75" s="6"/>
      <c r="D75" s="8">
        <f>(D73+D74)/2</f>
        <v>0.95499999999999996</v>
      </c>
      <c r="E75" s="6"/>
    </row>
    <row r="76" spans="2:6" ht="14.25" customHeight="1" x14ac:dyDescent="0.25">
      <c r="B76" s="6" t="s">
        <v>54</v>
      </c>
      <c r="C76" s="6"/>
      <c r="D76" s="15"/>
      <c r="E76" s="6"/>
    </row>
    <row r="77" spans="2:6" ht="14.25" customHeight="1" x14ac:dyDescent="0.25">
      <c r="B77" s="14" t="s">
        <v>32</v>
      </c>
      <c r="C77" s="6"/>
      <c r="D77" s="11">
        <v>0.93</v>
      </c>
      <c r="E77" s="6" t="str">
        <f>"At "&amp;ROUND(D59,2)&amp;" psia and "&amp;ROUNDUP(D31,0)&amp;" F"&amp;" (Figure 23.7)"</f>
        <v>At 289.2 psia and 120 F (Figure 23.7)</v>
      </c>
      <c r="F77" s="1" t="s">
        <v>69</v>
      </c>
    </row>
    <row r="78" spans="2:6" ht="14.25" customHeight="1" x14ac:dyDescent="0.25">
      <c r="B78" s="14" t="s">
        <v>33</v>
      </c>
      <c r="C78" s="6"/>
      <c r="D78" s="11">
        <v>0.91</v>
      </c>
      <c r="E78" s="6" t="str">
        <f>"At "&amp;ROUND(D60,2)&amp;" psia and "&amp;ROUNDUP(D62,0)&amp;" F"&amp;" (Figure 23.7)"</f>
        <v>At 510.17 psia and 181 F (Figure 23.7)</v>
      </c>
      <c r="F78" s="1" t="s">
        <v>69</v>
      </c>
    </row>
    <row r="79" spans="2:6" ht="14.25" customHeight="1" x14ac:dyDescent="0.25">
      <c r="B79" s="14" t="s">
        <v>34</v>
      </c>
      <c r="C79" s="6"/>
      <c r="D79" s="8">
        <f>(D77+D78)/2</f>
        <v>0.92</v>
      </c>
      <c r="E79" s="6"/>
    </row>
    <row r="80" spans="2:6" ht="14.25" customHeight="1" x14ac:dyDescent="0.25">
      <c r="B80" s="6" t="s">
        <v>62</v>
      </c>
      <c r="C80" s="6"/>
      <c r="D80" s="15"/>
      <c r="E80" s="6"/>
    </row>
    <row r="81" spans="2:6" ht="14.25" customHeight="1" x14ac:dyDescent="0.25">
      <c r="B81" s="14" t="s">
        <v>32</v>
      </c>
      <c r="C81" s="6"/>
      <c r="D81" s="11">
        <v>0.87</v>
      </c>
      <c r="E81" s="6" t="str">
        <f>"At "&amp;ROUND(D63,2)&amp;" psia and "&amp;ROUNDUP(D41,0)&amp;" F"&amp;" (Figure 23.7)"</f>
        <v>At 505.17 psia and 120 F (Figure 23.7)</v>
      </c>
      <c r="F81" s="1" t="s">
        <v>69</v>
      </c>
    </row>
    <row r="82" spans="2:6" ht="14.25" customHeight="1" x14ac:dyDescent="0.25">
      <c r="B82" s="14" t="s">
        <v>33</v>
      </c>
      <c r="C82" s="6"/>
      <c r="D82" s="11">
        <v>0.8</v>
      </c>
      <c r="E82" s="6" t="str">
        <f>"At "&amp;ROUND(D64,2)&amp;" psia and "&amp;ROUNDUP(D66,0)&amp;" F"&amp;" (Figure 23.7)"</f>
        <v>At 900 psia and 182 F (Figure 23.7)</v>
      </c>
      <c r="F82" s="1" t="s">
        <v>69</v>
      </c>
    </row>
    <row r="83" spans="2:6" ht="14.25" customHeight="1" x14ac:dyDescent="0.25">
      <c r="B83" s="14" t="s">
        <v>34</v>
      </c>
      <c r="C83" s="6"/>
      <c r="D83" s="8">
        <f>(D81+D82)/2</f>
        <v>0.83499999999999996</v>
      </c>
      <c r="E83" s="6"/>
    </row>
    <row r="86" spans="2:6" ht="14.25" customHeight="1" x14ac:dyDescent="0.25">
      <c r="B86" s="16" t="s">
        <v>36</v>
      </c>
      <c r="C86" s="6" t="s">
        <v>37</v>
      </c>
      <c r="D86" s="11">
        <v>36</v>
      </c>
      <c r="E86" s="6" t="str">
        <f>"At compression ratio "&amp;ROUNDUP(D14,2)&amp;" and k factor "&amp;ROUNDUP(D8,2)&amp;" (Figure 13.12)"</f>
        <v>At compression ratio 1.74 and k factor 1.21 (Figure 13.12)</v>
      </c>
    </row>
    <row r="87" spans="2:6" ht="14.25" customHeight="1" x14ac:dyDescent="0.25">
      <c r="B87" s="16" t="s">
        <v>38</v>
      </c>
      <c r="C87" s="6" t="s">
        <v>37</v>
      </c>
      <c r="D87" s="11">
        <v>36.5</v>
      </c>
      <c r="E87" s="6" t="str">
        <f>"At compression ratio "&amp;ROUNDUP(D24,2)&amp;" and k factor "&amp;ROUNDUP(D8,2)&amp;" (Figure 13.12)"</f>
        <v>At compression ratio 1.75 and k factor 1.21 (Figure 13.12)</v>
      </c>
    </row>
    <row r="88" spans="2:6" ht="14.25" customHeight="1" x14ac:dyDescent="0.25">
      <c r="B88" s="16" t="s">
        <v>55</v>
      </c>
      <c r="C88" s="6" t="s">
        <v>37</v>
      </c>
      <c r="D88" s="11">
        <v>36</v>
      </c>
      <c r="E88" s="6" t="str">
        <f>"At compression ratio "&amp;ROUNDUP(D34,2)&amp;" and k factor "&amp;ROUNDUP(D8,2)&amp;" (Figure 13.12)"</f>
        <v>At compression ratio 1.77 and k factor 1.21 (Figure 13.12)</v>
      </c>
    </row>
    <row r="89" spans="2:6" ht="14.25" customHeight="1" x14ac:dyDescent="0.25">
      <c r="B89" s="16" t="s">
        <v>87</v>
      </c>
      <c r="C89" s="6" t="s">
        <v>37</v>
      </c>
      <c r="D89" s="11">
        <v>37</v>
      </c>
      <c r="E89" s="6" t="str">
        <f>"At compression ratio "&amp;ROUNDUP(D44,2)&amp;" and k factor "&amp;ROUNDUP(D8,2)&amp;" (Figure 13.12)"</f>
        <v>At compression ratio 1.79 and k factor 1.21 (Figure 13.12)</v>
      </c>
    </row>
    <row r="91" spans="2:6" ht="14.25" customHeight="1" x14ac:dyDescent="0.25">
      <c r="B91" s="16" t="s">
        <v>39</v>
      </c>
      <c r="C91" s="6"/>
      <c r="D91" s="11">
        <v>1</v>
      </c>
      <c r="E91" s="6" t="str">
        <f>"At compression ratio "&amp;ROUNDUP(D14,2)&amp;" and inlet temperature "&amp;ROUNDUP(D4,2)&amp;" F"&amp;" (Figure 13.14)"</f>
        <v>At compression ratio 1.74 and inlet temperature 100 F (Figure 13.14)</v>
      </c>
    </row>
    <row r="92" spans="2:6" ht="14.25" customHeight="1" x14ac:dyDescent="0.25">
      <c r="B92" s="16" t="s">
        <v>40</v>
      </c>
      <c r="C92" s="6"/>
      <c r="D92" s="11">
        <v>1</v>
      </c>
      <c r="E92" s="6" t="str">
        <f>"At compression ratio "&amp;ROUNDUP(D14,2)&amp;" and SG "&amp;ROUNDUP(D7,3)&amp;" (Figure 13.15)"</f>
        <v>At compression ratio 1.74 and SG 0.795 (Figure 13.15)</v>
      </c>
    </row>
    <row r="94" spans="2:6" ht="14.25" customHeight="1" x14ac:dyDescent="0.25">
      <c r="B94" s="16" t="s">
        <v>42</v>
      </c>
      <c r="C94" s="6" t="s">
        <v>3</v>
      </c>
      <c r="D94" s="17">
        <v>14.65</v>
      </c>
      <c r="E94" s="6"/>
    </row>
    <row r="95" spans="2:6" ht="14.25" customHeight="1" x14ac:dyDescent="0.25">
      <c r="B95" s="16" t="s">
        <v>43</v>
      </c>
      <c r="C95" s="6" t="s">
        <v>44</v>
      </c>
      <c r="D95" s="17">
        <f>60+460</f>
        <v>520</v>
      </c>
      <c r="E95" s="6"/>
    </row>
    <row r="97" spans="1:5" ht="14.25" customHeight="1" x14ac:dyDescent="0.25">
      <c r="B97" s="16" t="s">
        <v>45</v>
      </c>
      <c r="C97" s="16" t="s">
        <v>48</v>
      </c>
      <c r="D97" s="8">
        <f>D86*(D94/14.4)*(D4+460)/(D95)*D71*D2*D91*D92</f>
        <v>76.123653846153843</v>
      </c>
      <c r="E97" s="6"/>
    </row>
    <row r="98" spans="1:5" ht="14.25" customHeight="1" x14ac:dyDescent="0.25">
      <c r="B98" s="16" t="s">
        <v>46</v>
      </c>
      <c r="C98" s="16" t="s">
        <v>48</v>
      </c>
      <c r="D98" s="8">
        <f>D87*(D94/14.4)*(D21+460)/D95*D75*D2*D91*D92</f>
        <v>79.109021768162393</v>
      </c>
      <c r="E98" s="6"/>
    </row>
    <row r="99" spans="1:5" ht="14.25" customHeight="1" x14ac:dyDescent="0.25">
      <c r="B99" s="16" t="s">
        <v>57</v>
      </c>
      <c r="C99" s="16" t="s">
        <v>48</v>
      </c>
      <c r="D99" s="8">
        <f>D88*(D94/14.4)*(D31+460)/D95*D79*D2*D91*D92</f>
        <v>75.165769230769243</v>
      </c>
      <c r="E99" s="6"/>
    </row>
    <row r="100" spans="1:5" ht="14.25" customHeight="1" x14ac:dyDescent="0.25">
      <c r="B100" s="16" t="s">
        <v>64</v>
      </c>
      <c r="C100" s="16" t="s">
        <v>48</v>
      </c>
      <c r="D100" s="8">
        <f>D89*(D94/14.4)*(D41+460)/D95*D83*D2*D91*D92</f>
        <v>70.11613648504273</v>
      </c>
      <c r="E100" s="6"/>
    </row>
    <row r="101" spans="1:5" ht="14.25" customHeight="1" x14ac:dyDescent="0.25">
      <c r="B101" s="16" t="s">
        <v>47</v>
      </c>
      <c r="C101" s="16" t="s">
        <v>48</v>
      </c>
      <c r="D101" s="8">
        <f>D98+D97+D99+D100</f>
        <v>300.51458133012818</v>
      </c>
      <c r="E101" s="14"/>
    </row>
    <row r="102" spans="1:5" ht="14.25" customHeight="1" x14ac:dyDescent="0.25">
      <c r="B102" s="18"/>
      <c r="D102" s="27">
        <f>(312-D101)/D101</f>
        <v>3.8219172657231543E-2</v>
      </c>
    </row>
    <row r="103" spans="1:5" ht="14.25" customHeight="1" x14ac:dyDescent="0.25">
      <c r="A103" s="1" t="s">
        <v>78</v>
      </c>
    </row>
    <row r="104" spans="1:5" ht="14.25" customHeight="1" x14ac:dyDescent="0.25">
      <c r="E104" s="1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1A78-F461-4505-AB18-56EC48ADBE5F}">
  <dimension ref="C2:G27"/>
  <sheetViews>
    <sheetView showGridLines="0" workbookViewId="0">
      <selection activeCell="J24" sqref="J24"/>
    </sheetView>
  </sheetViews>
  <sheetFormatPr defaultRowHeight="15" x14ac:dyDescent="0.25"/>
  <cols>
    <col min="3" max="3" width="27.28515625" bestFit="1" customWidth="1"/>
    <col min="4" max="6" width="9.140625" style="28"/>
  </cols>
  <sheetData>
    <row r="2" spans="3:7" x14ac:dyDescent="0.25">
      <c r="C2" s="33" t="s">
        <v>84</v>
      </c>
      <c r="D2" s="33" t="s">
        <v>85</v>
      </c>
      <c r="E2" s="33" t="s">
        <v>80</v>
      </c>
      <c r="F2" s="33" t="s">
        <v>81</v>
      </c>
      <c r="G2" s="33" t="s">
        <v>82</v>
      </c>
    </row>
    <row r="3" spans="3:7" x14ac:dyDescent="0.25">
      <c r="C3" s="5" t="s">
        <v>0</v>
      </c>
      <c r="D3" s="34" t="s">
        <v>1</v>
      </c>
      <c r="E3" s="30">
        <f>'2-stage'!D2</f>
        <v>2</v>
      </c>
      <c r="F3" s="30">
        <f>'3-stage'!D2</f>
        <v>2</v>
      </c>
      <c r="G3" s="30">
        <f>'4-stage'!D2</f>
        <v>2</v>
      </c>
    </row>
    <row r="4" spans="3:7" x14ac:dyDescent="0.25">
      <c r="C4" s="5" t="s">
        <v>2</v>
      </c>
      <c r="D4" s="34" t="s">
        <v>3</v>
      </c>
      <c r="E4" s="30">
        <f>'2-stage'!D30</f>
        <v>100</v>
      </c>
      <c r="F4" s="30">
        <f>'3-stage'!$D$3</f>
        <v>100</v>
      </c>
      <c r="G4" s="30">
        <f>'4-stage'!$D$3</f>
        <v>100</v>
      </c>
    </row>
    <row r="5" spans="3:7" x14ac:dyDescent="0.25">
      <c r="C5" s="5" t="s">
        <v>4</v>
      </c>
      <c r="D5" s="34" t="s">
        <v>5</v>
      </c>
      <c r="E5" s="30">
        <f>'2-stage'!D31</f>
        <v>100</v>
      </c>
      <c r="F5" s="30">
        <f>'3-stage'!$D$4</f>
        <v>100</v>
      </c>
      <c r="G5" s="30">
        <f>'4-stage'!$D$4</f>
        <v>100</v>
      </c>
    </row>
    <row r="6" spans="3:7" x14ac:dyDescent="0.25">
      <c r="C6" s="5" t="s">
        <v>6</v>
      </c>
      <c r="D6" s="34" t="s">
        <v>3</v>
      </c>
      <c r="E6" s="30">
        <f>'2-stage'!D5</f>
        <v>900</v>
      </c>
      <c r="F6" s="30">
        <f>'3-stage'!$D$5</f>
        <v>900</v>
      </c>
      <c r="G6" s="30">
        <f>'4-stage'!$D$5</f>
        <v>900</v>
      </c>
    </row>
    <row r="7" spans="3:7" x14ac:dyDescent="0.25">
      <c r="E7" s="29"/>
      <c r="F7" s="29"/>
      <c r="G7" s="29"/>
    </row>
    <row r="8" spans="3:7" x14ac:dyDescent="0.25">
      <c r="C8" s="5" t="s">
        <v>13</v>
      </c>
      <c r="D8" s="34" t="s">
        <v>3</v>
      </c>
      <c r="E8" s="30">
        <f>'2-stage'!D32</f>
        <v>300</v>
      </c>
      <c r="F8" s="30">
        <f>'3-stage'!D43</f>
        <v>208.00838230519042</v>
      </c>
      <c r="G8" s="30">
        <f>'4-stage'!D53</f>
        <v>173.20508075688775</v>
      </c>
    </row>
    <row r="9" spans="3:7" x14ac:dyDescent="0.25">
      <c r="C9" s="5" t="s">
        <v>21</v>
      </c>
      <c r="D9" s="34" t="s">
        <v>5</v>
      </c>
      <c r="E9" s="30">
        <f>'2-stage'!D33</f>
        <v>217.6324502535449</v>
      </c>
      <c r="F9" s="30">
        <f>'3-stage'!D44</f>
        <v>175.90485262664572</v>
      </c>
      <c r="G9" s="30">
        <f>'4-stage'!D54</f>
        <v>156.01474993865622</v>
      </c>
    </row>
    <row r="10" spans="3:7" x14ac:dyDescent="0.25">
      <c r="C10" s="5" t="s">
        <v>17</v>
      </c>
      <c r="D10" s="34" t="s">
        <v>3</v>
      </c>
      <c r="E10" s="30">
        <f>'2-stage'!D34</f>
        <v>295</v>
      </c>
      <c r="F10" s="30">
        <f>'3-stage'!D45</f>
        <v>203.00838230519042</v>
      </c>
      <c r="G10" s="30">
        <f>'4-stage'!D55</f>
        <v>168.20508075688775</v>
      </c>
    </row>
    <row r="11" spans="3:7" x14ac:dyDescent="0.25">
      <c r="C11" s="5" t="s">
        <v>30</v>
      </c>
      <c r="D11" s="34" t="s">
        <v>3</v>
      </c>
      <c r="E11" s="30">
        <f>'2-stage'!D35</f>
        <v>900</v>
      </c>
      <c r="F11" s="30">
        <f>'3-stage'!D46</f>
        <v>427.44303020949047</v>
      </c>
      <c r="G11" s="30">
        <f>'4-stage'!D56</f>
        <v>294.19835702194052</v>
      </c>
    </row>
    <row r="12" spans="3:7" x14ac:dyDescent="0.25">
      <c r="C12" s="5" t="s">
        <v>73</v>
      </c>
      <c r="D12" s="34" t="s">
        <v>5</v>
      </c>
      <c r="E12" s="30">
        <f>'2-stage'!D23</f>
        <v>120</v>
      </c>
      <c r="F12" s="30">
        <f>'3-stage'!D47</f>
        <v>120</v>
      </c>
      <c r="G12" s="30">
        <f>'4-stage'!D57</f>
        <v>120</v>
      </c>
    </row>
    <row r="13" spans="3:7" x14ac:dyDescent="0.25">
      <c r="C13" s="5" t="s">
        <v>27</v>
      </c>
      <c r="D13" s="34" t="s">
        <v>5</v>
      </c>
      <c r="E13" s="30">
        <f>'2-stage'!D36</f>
        <v>243.88380292824911</v>
      </c>
      <c r="F13" s="30">
        <f>'3-stage'!D48</f>
        <v>200.00779550418531</v>
      </c>
      <c r="G13" s="30">
        <f>'4-stage'!D58</f>
        <v>186</v>
      </c>
    </row>
    <row r="14" spans="3:7" x14ac:dyDescent="0.25">
      <c r="C14" s="5" t="s">
        <v>51</v>
      </c>
      <c r="D14" s="34" t="s">
        <v>3</v>
      </c>
      <c r="E14" s="30" t="s">
        <v>83</v>
      </c>
      <c r="F14" s="30">
        <f>'3-stage'!D49</f>
        <v>422.44303020949047</v>
      </c>
      <c r="G14" s="30">
        <f>'4-stage'!D59</f>
        <v>289.19835702194052</v>
      </c>
    </row>
    <row r="15" spans="3:7" x14ac:dyDescent="0.25">
      <c r="C15" s="5" t="s">
        <v>52</v>
      </c>
      <c r="D15" s="34" t="s">
        <v>3</v>
      </c>
      <c r="E15" s="30" t="s">
        <v>83</v>
      </c>
      <c r="F15" s="30">
        <f>'3-stage'!D50</f>
        <v>900</v>
      </c>
      <c r="G15" s="30">
        <f>'4-stage'!D60</f>
        <v>510.17499088033162</v>
      </c>
    </row>
    <row r="16" spans="3:7" x14ac:dyDescent="0.25">
      <c r="C16" s="5" t="s">
        <v>75</v>
      </c>
      <c r="D16" s="34" t="s">
        <v>5</v>
      </c>
      <c r="E16" s="30" t="s">
        <v>83</v>
      </c>
      <c r="F16" s="30">
        <f>'3-stage'!D51</f>
        <v>120</v>
      </c>
      <c r="G16" s="30">
        <f>'4-stage'!D61</f>
        <v>120</v>
      </c>
    </row>
    <row r="17" spans="3:7" x14ac:dyDescent="0.25">
      <c r="C17" s="5" t="s">
        <v>53</v>
      </c>
      <c r="D17" s="34" t="s">
        <v>5</v>
      </c>
      <c r="E17" s="30" t="s">
        <v>83</v>
      </c>
      <c r="F17" s="30">
        <f>'3-stage'!D52</f>
        <v>201.35697833873144</v>
      </c>
      <c r="G17" s="30">
        <f>'4-stage'!D62</f>
        <v>180.04872494031099</v>
      </c>
    </row>
    <row r="18" spans="3:7" x14ac:dyDescent="0.25">
      <c r="C18" s="5" t="s">
        <v>58</v>
      </c>
      <c r="D18" s="34" t="s">
        <v>3</v>
      </c>
      <c r="E18" s="30" t="s">
        <v>83</v>
      </c>
      <c r="F18" s="30" t="s">
        <v>83</v>
      </c>
      <c r="G18" s="30">
        <f>'4-stage'!D63</f>
        <v>505.17499088033162</v>
      </c>
    </row>
    <row r="19" spans="3:7" x14ac:dyDescent="0.25">
      <c r="C19" s="5" t="s">
        <v>59</v>
      </c>
      <c r="D19" s="34" t="s">
        <v>3</v>
      </c>
      <c r="E19" s="30" t="s">
        <v>83</v>
      </c>
      <c r="F19" s="30" t="s">
        <v>83</v>
      </c>
      <c r="G19" s="30">
        <f>'4-stage'!D64</f>
        <v>900</v>
      </c>
    </row>
    <row r="20" spans="3:7" x14ac:dyDescent="0.25">
      <c r="C20" s="5" t="s">
        <v>79</v>
      </c>
      <c r="D20" s="34" t="s">
        <v>5</v>
      </c>
      <c r="E20" s="30" t="s">
        <v>83</v>
      </c>
      <c r="F20" s="30" t="s">
        <v>83</v>
      </c>
      <c r="G20" s="30">
        <f>'4-stage'!D65</f>
        <v>120</v>
      </c>
    </row>
    <row r="21" spans="3:7" x14ac:dyDescent="0.25">
      <c r="C21" s="5" t="s">
        <v>60</v>
      </c>
      <c r="D21" s="34" t="s">
        <v>5</v>
      </c>
      <c r="E21" s="30" t="s">
        <v>83</v>
      </c>
      <c r="F21" s="30" t="s">
        <v>83</v>
      </c>
      <c r="G21" s="30">
        <f>'4-stage'!D66</f>
        <v>181.14370429768701</v>
      </c>
    </row>
    <row r="23" spans="3:7" x14ac:dyDescent="0.25">
      <c r="C23" s="31" t="s">
        <v>45</v>
      </c>
      <c r="D23" s="34" t="s">
        <v>48</v>
      </c>
      <c r="E23" s="30">
        <f>'2-stage'!D57</f>
        <v>134.59687500000001</v>
      </c>
      <c r="F23" s="30">
        <f>'3-stage'!D78</f>
        <v>94.584845085470093</v>
      </c>
      <c r="G23" s="30">
        <f>'4-stage'!D97</f>
        <v>76.123653846153843</v>
      </c>
    </row>
    <row r="24" spans="3:7" x14ac:dyDescent="0.25">
      <c r="C24" s="31" t="s">
        <v>46</v>
      </c>
      <c r="D24" s="34" t="s">
        <v>48</v>
      </c>
      <c r="E24" s="30">
        <f>'2-stage'!D58</f>
        <v>133.20817708333337</v>
      </c>
      <c r="F24" s="30">
        <f>'3-stage'!D79</f>
        <v>96.255078124999997</v>
      </c>
      <c r="G24" s="30">
        <f>'4-stage'!D98</f>
        <v>79.109021768162393</v>
      </c>
    </row>
    <row r="25" spans="3:7" x14ac:dyDescent="0.25">
      <c r="C25" s="31" t="s">
        <v>57</v>
      </c>
      <c r="D25" s="34" t="s">
        <v>48</v>
      </c>
      <c r="E25" s="32" t="s">
        <v>83</v>
      </c>
      <c r="F25" s="30">
        <f>'3-stage'!D80</f>
        <v>88.873536324786329</v>
      </c>
      <c r="G25" s="30">
        <f>'4-stage'!D99</f>
        <v>75.165769230769243</v>
      </c>
    </row>
    <row r="26" spans="3:7" x14ac:dyDescent="0.25">
      <c r="C26" s="31" t="s">
        <v>64</v>
      </c>
      <c r="D26" s="34" t="s">
        <v>48</v>
      </c>
      <c r="E26" s="32" t="s">
        <v>83</v>
      </c>
      <c r="F26" s="32" t="s">
        <v>83</v>
      </c>
      <c r="G26" s="30">
        <f>'4-stage'!D100</f>
        <v>70.11613648504273</v>
      </c>
    </row>
    <row r="27" spans="3:7" x14ac:dyDescent="0.25">
      <c r="C27" s="35" t="s">
        <v>47</v>
      </c>
      <c r="D27" s="36" t="s">
        <v>48</v>
      </c>
      <c r="E27" s="37">
        <f>SUM(E23:E26)</f>
        <v>267.80505208333341</v>
      </c>
      <c r="F27" s="37">
        <f>SUM(F23:F26)</f>
        <v>279.71345953525645</v>
      </c>
      <c r="G27" s="37">
        <f>SUM(G23:G26)</f>
        <v>300.51458133012818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FF66-FACA-4A2B-AB5D-8F9E754EF1FB}">
  <dimension ref="A1"/>
  <sheetViews>
    <sheetView topLeftCell="A15" zoomScale="130" zoomScaleNormal="130" workbookViewId="0">
      <selection activeCell="O24" sqref="O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D367-EAEA-4BBF-86B8-EA32ABB16D7A}">
  <dimension ref="A1"/>
  <sheetViews>
    <sheetView topLeftCell="B7" zoomScale="145" zoomScaleNormal="145" workbookViewId="0">
      <selection activeCell="M26" sqref="M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FE26-4758-4ED8-B4A5-D3DA715184E4}">
  <dimension ref="B1:N12"/>
  <sheetViews>
    <sheetView topLeftCell="A32" zoomScale="115" zoomScaleNormal="115" workbookViewId="0">
      <selection activeCell="C38" sqref="C38"/>
    </sheetView>
  </sheetViews>
  <sheetFormatPr defaultRowHeight="15" x14ac:dyDescent="0.25"/>
  <cols>
    <col min="2" max="2" width="10.28515625" bestFit="1" customWidth="1"/>
  </cols>
  <sheetData>
    <row r="1" spans="2:14" x14ac:dyDescent="0.25">
      <c r="B1" t="s">
        <v>65</v>
      </c>
    </row>
    <row r="12" spans="2:14" x14ac:dyDescent="0.25">
      <c r="N12" t="s">
        <v>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27C3-E370-4959-8004-FF594E4ABDE4}">
  <dimension ref="A1"/>
  <sheetViews>
    <sheetView topLeftCell="A1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04B3-8AA0-4497-B301-74D7CB2487F9}">
  <dimension ref="A1"/>
  <sheetViews>
    <sheetView topLeftCell="A4"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2-stage</vt:lpstr>
      <vt:lpstr>3-stage</vt:lpstr>
      <vt:lpstr>4-stage</vt:lpstr>
      <vt:lpstr>Comparison</vt:lpstr>
      <vt:lpstr>Fig 13.8</vt:lpstr>
      <vt:lpstr>Fig 13.11</vt:lpstr>
      <vt:lpstr>Fig 23.7</vt:lpstr>
      <vt:lpstr>Fig 13.12</vt:lpstr>
      <vt:lpstr>Fig 13.14</vt:lpstr>
      <vt:lpstr>Fig 13.15</vt:lpstr>
      <vt:lpstr>Eq 13.18</vt:lpstr>
      <vt:lpstr>Eq 13.21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2021-06-01T02:03:39Z</dcterms:created>
  <dcterms:modified xsi:type="dcterms:W3CDTF">2021-09-06T02:28:52Z</dcterms:modified>
</cp:coreProperties>
</file>